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326"/>
  <workbookPr defaultThemeVersion="124226"/>
  <mc:AlternateContent xmlns:mc="http://schemas.openxmlformats.org/markup-compatibility/2006">
    <mc:Choice Requires="x15">
      <x15ac:absPath xmlns:x15ac="http://schemas.microsoft.com/office/spreadsheetml/2010/11/ac" url="Q:\SEC---PROJECTS\116107 Tijeras Arroyo Facility Mgmt Plan\ENGINEERING\Reports\Appendix 2 HEC-HMS Data, Models and Hydrologic Output\Tables 2-1 thu 2-4\"/>
    </mc:Choice>
  </mc:AlternateContent>
  <bookViews>
    <workbookView xWindow="720" yWindow="450" windowWidth="27555" windowHeight="11415" firstSheet="8" activeTab="8" xr2:uid="{00000000-000D-0000-FFFF-FFFF00000000}"/>
  </bookViews>
  <sheets>
    <sheet name="Table 2-2 Base ImperValuesreprt" sheetId="12" r:id="rId1"/>
    <sheet name="dontuse Prop  % Imp. Vertical " sheetId="8" r:id="rId2"/>
    <sheet name="Dont use Exist  % Imp. Horiz" sheetId="6" r:id="rId3"/>
    <sheet name="East sediment bulking factors" sheetId="4" r:id="rId4"/>
    <sheet name="badExist &amp; Prop % Imp. Vertical" sheetId="7" r:id="rId5"/>
    <sheet name="Tab 2-2 Exist &amp; Prop % Imperv." sheetId="11" r:id="rId6"/>
    <sheet name="1 Exist &amp; Prop % Imperviousness" sheetId="10" r:id="rId7"/>
    <sheet name="Table 2-3 PropDev  % Imp. " sheetId="5" r:id="rId8"/>
    <sheet name="Tab 2-4 Smith Hydrologic Data" sheetId="9" r:id="rId9"/>
    <sheet name="HUITT ZOLLERS Hydrologic Data" sheetId="1" r:id="rId10"/>
    <sheet name="West sediment bulking factors" sheetId="2" r:id="rId11"/>
    <sheet name="Future Devel,  % Imperviousness" sheetId="3" r:id="rId12"/>
  </sheets>
  <definedNames>
    <definedName name="_xlnm.Print_Area" localSheetId="8">'Tab 2-4 Smith Hydrologic Data'!$A$1:$S$50</definedName>
  </definedNames>
  <calcPr calcId="171027"/>
</workbook>
</file>

<file path=xl/calcChain.xml><?xml version="1.0" encoding="utf-8"?>
<calcChain xmlns="http://schemas.openxmlformats.org/spreadsheetml/2006/main">
  <c r="U24" i="12" l="1"/>
  <c r="U25" i="12" s="1"/>
  <c r="R24" i="12"/>
  <c r="R25" i="12" s="1"/>
  <c r="K24" i="12"/>
  <c r="K25" i="12" s="1"/>
  <c r="F24" i="12"/>
  <c r="F25" i="12" s="1"/>
  <c r="E23" i="12"/>
  <c r="E24" i="12" s="1"/>
  <c r="E25" i="12" s="1"/>
  <c r="U22" i="12"/>
  <c r="T22" i="12"/>
  <c r="T23" i="12" s="1"/>
  <c r="T24" i="12" s="1"/>
  <c r="T25" i="12" s="1"/>
  <c r="R22" i="12"/>
  <c r="Q22" i="12"/>
  <c r="Q23" i="12" s="1"/>
  <c r="P22" i="12"/>
  <c r="P23" i="12" s="1"/>
  <c r="P24" i="12" s="1"/>
  <c r="P25" i="12" s="1"/>
  <c r="O22" i="12"/>
  <c r="O23" i="12" s="1"/>
  <c r="O24" i="12" s="1"/>
  <c r="O25" i="12" s="1"/>
  <c r="O27" i="12" s="1"/>
  <c r="N22" i="12"/>
  <c r="N23" i="12" s="1"/>
  <c r="N24" i="12" s="1"/>
  <c r="N25" i="12" s="1"/>
  <c r="M22" i="12"/>
  <c r="M23" i="12" s="1"/>
  <c r="M24" i="12" s="1"/>
  <c r="M25" i="12" s="1"/>
  <c r="K22" i="12"/>
  <c r="J22" i="12"/>
  <c r="J23" i="12" s="1"/>
  <c r="I22" i="12"/>
  <c r="I23" i="12" s="1"/>
  <c r="I24" i="12" s="1"/>
  <c r="I25" i="12" s="1"/>
  <c r="H22" i="12"/>
  <c r="H23" i="12" s="1"/>
  <c r="H24" i="12" s="1"/>
  <c r="H25" i="12" s="1"/>
  <c r="F22" i="12"/>
  <c r="V20" i="12"/>
  <c r="U20" i="12"/>
  <c r="T20" i="12"/>
  <c r="S20" i="12"/>
  <c r="R20" i="12"/>
  <c r="Q20" i="12"/>
  <c r="P20" i="12"/>
  <c r="O20" i="12"/>
  <c r="N20" i="12"/>
  <c r="M20" i="12"/>
  <c r="L20" i="12"/>
  <c r="K20" i="12"/>
  <c r="J20" i="12"/>
  <c r="I20" i="12"/>
  <c r="I27" i="12" s="1"/>
  <c r="H20" i="12"/>
  <c r="G20" i="12"/>
  <c r="F20" i="12"/>
  <c r="E20" i="12"/>
  <c r="U18" i="12"/>
  <c r="U19" i="12" s="1"/>
  <c r="T18" i="12"/>
  <c r="T19" i="12" s="1"/>
  <c r="R18" i="12"/>
  <c r="R19" i="12" s="1"/>
  <c r="Q18" i="12"/>
  <c r="Q19" i="12" s="1"/>
  <c r="P18" i="12"/>
  <c r="P19" i="12" s="1"/>
  <c r="O18" i="12"/>
  <c r="O19" i="12" s="1"/>
  <c r="N18" i="12"/>
  <c r="M18" i="12"/>
  <c r="M19" i="12" s="1"/>
  <c r="K18" i="12"/>
  <c r="K19" i="12" s="1"/>
  <c r="J18" i="12"/>
  <c r="J19" i="12" s="1"/>
  <c r="I18" i="12"/>
  <c r="I19" i="12" s="1"/>
  <c r="H18" i="12"/>
  <c r="H19" i="12" s="1"/>
  <c r="F18" i="12"/>
  <c r="F19" i="12" s="1"/>
  <c r="E18" i="12"/>
  <c r="N27" i="12" l="1"/>
  <c r="F27" i="12"/>
  <c r="K26" i="12"/>
  <c r="R26" i="12"/>
  <c r="U27" i="12"/>
  <c r="M27" i="12"/>
  <c r="E27" i="12"/>
  <c r="H27" i="12"/>
  <c r="P27" i="12"/>
  <c r="Q24" i="12"/>
  <c r="Q25" i="12" s="1"/>
  <c r="S23" i="12"/>
  <c r="S24" i="12" s="1"/>
  <c r="S25" i="12" s="1"/>
  <c r="S22" i="12" s="1"/>
  <c r="L23" i="12"/>
  <c r="L24" i="12" s="1"/>
  <c r="L25" i="12" s="1"/>
  <c r="L22" i="12" s="1"/>
  <c r="J24" i="12"/>
  <c r="J25" i="12" s="1"/>
  <c r="J27" i="12" s="1"/>
  <c r="T27" i="12"/>
  <c r="R27" i="12"/>
  <c r="K27" i="12"/>
  <c r="G23" i="12"/>
  <c r="G24" i="12" s="1"/>
  <c r="G25" i="12" s="1"/>
  <c r="V23" i="12"/>
  <c r="V24" i="12" s="1"/>
  <c r="V25" i="12" s="1"/>
  <c r="V19" i="12" s="1"/>
  <c r="U26" i="12"/>
  <c r="F26" i="12"/>
  <c r="D29" i="9"/>
  <c r="S19" i="12" l="1"/>
  <c r="Q27" i="12"/>
  <c r="V27" i="12"/>
  <c r="V22" i="12"/>
  <c r="L19" i="12"/>
  <c r="L27" i="12"/>
  <c r="G27" i="12"/>
  <c r="G22" i="12"/>
  <c r="S27" i="12"/>
  <c r="G19" i="12"/>
  <c r="E23" i="11"/>
  <c r="F22" i="11"/>
  <c r="I22" i="11"/>
  <c r="I23" i="11" s="1"/>
  <c r="J22" i="11"/>
  <c r="J23" i="11" s="1"/>
  <c r="K22" i="11"/>
  <c r="M22" i="11"/>
  <c r="M23" i="11" s="1"/>
  <c r="N22" i="11"/>
  <c r="N23" i="11" s="1"/>
  <c r="O22" i="11"/>
  <c r="O23" i="11" s="1"/>
  <c r="P22" i="11"/>
  <c r="P23" i="11" s="1"/>
  <c r="Q22" i="11"/>
  <c r="Q23" i="11" s="1"/>
  <c r="R22" i="11"/>
  <c r="T22" i="11"/>
  <c r="T23" i="11" s="1"/>
  <c r="U22" i="11"/>
  <c r="H22" i="11"/>
  <c r="H23" i="11" s="1"/>
  <c r="U24" i="11" l="1"/>
  <c r="U25" i="11" s="1"/>
  <c r="R24" i="11"/>
  <c r="R25" i="11" s="1"/>
  <c r="O24" i="11"/>
  <c r="O25" i="11" s="1"/>
  <c r="N24" i="11"/>
  <c r="N25" i="11" s="1"/>
  <c r="M24" i="11"/>
  <c r="M25" i="11" s="1"/>
  <c r="K24" i="11"/>
  <c r="K25" i="11" s="1"/>
  <c r="J24" i="11"/>
  <c r="J25" i="11" s="1"/>
  <c r="I24" i="11"/>
  <c r="I25" i="11" s="1"/>
  <c r="H24" i="11"/>
  <c r="H25" i="11" s="1"/>
  <c r="F24" i="11"/>
  <c r="F25" i="11" s="1"/>
  <c r="E24" i="11"/>
  <c r="E25" i="11" s="1"/>
  <c r="V23" i="11"/>
  <c r="V24" i="11" s="1"/>
  <c r="V25" i="11" s="1"/>
  <c r="T24" i="11"/>
  <c r="T25" i="11" s="1"/>
  <c r="Q24" i="11"/>
  <c r="Q25" i="11" s="1"/>
  <c r="P24" i="11"/>
  <c r="P25" i="11" s="1"/>
  <c r="L23" i="11"/>
  <c r="L24" i="11" s="1"/>
  <c r="L25" i="11" s="1"/>
  <c r="G23" i="11"/>
  <c r="G24" i="11" s="1"/>
  <c r="G25" i="11" s="1"/>
  <c r="V20" i="11"/>
  <c r="U20" i="11"/>
  <c r="T20" i="11"/>
  <c r="S20" i="11"/>
  <c r="R20" i="11"/>
  <c r="Q20" i="11"/>
  <c r="P20" i="11"/>
  <c r="O20" i="11"/>
  <c r="N20" i="11"/>
  <c r="M20" i="11"/>
  <c r="L20" i="11"/>
  <c r="K20" i="11"/>
  <c r="J20" i="11"/>
  <c r="I20" i="11"/>
  <c r="H20" i="11"/>
  <c r="G20" i="11"/>
  <c r="F20" i="11"/>
  <c r="E20" i="11"/>
  <c r="U18" i="11"/>
  <c r="U19" i="11" s="1"/>
  <c r="T18" i="11"/>
  <c r="R18" i="11"/>
  <c r="Q18" i="11"/>
  <c r="P18" i="11"/>
  <c r="O18" i="11"/>
  <c r="N18" i="11"/>
  <c r="M18" i="11"/>
  <c r="M19" i="11" s="1"/>
  <c r="K18" i="11"/>
  <c r="J18" i="11"/>
  <c r="I18" i="11"/>
  <c r="H18" i="11"/>
  <c r="F18" i="11"/>
  <c r="E18" i="11"/>
  <c r="T34" i="10"/>
  <c r="T20" i="10" s="1"/>
  <c r="K17" i="5"/>
  <c r="P34" i="10"/>
  <c r="P20" i="10" s="1"/>
  <c r="P21" i="10" s="1"/>
  <c r="P22" i="10" s="1"/>
  <c r="Q34" i="10"/>
  <c r="Q20" i="10" s="1"/>
  <c r="H17" i="5"/>
  <c r="H18" i="5" s="1"/>
  <c r="R21" i="10"/>
  <c r="R22" i="10" s="1"/>
  <c r="S18" i="10"/>
  <c r="R18" i="10"/>
  <c r="R17" i="10"/>
  <c r="R26" i="10" s="1"/>
  <c r="Q18" i="10"/>
  <c r="Q17" i="10"/>
  <c r="Q26" i="10" s="1"/>
  <c r="U21" i="10"/>
  <c r="U22" i="10" s="1"/>
  <c r="O21" i="10"/>
  <c r="O22" i="10" s="1"/>
  <c r="N21" i="10"/>
  <c r="N22" i="10" s="1"/>
  <c r="M21" i="10"/>
  <c r="M22" i="10" s="1"/>
  <c r="K21" i="10"/>
  <c r="K22" i="10" s="1"/>
  <c r="J21" i="10"/>
  <c r="J22" i="10" s="1"/>
  <c r="I21" i="10"/>
  <c r="I22" i="10" s="1"/>
  <c r="H21" i="10"/>
  <c r="H22" i="10" s="1"/>
  <c r="F21" i="10"/>
  <c r="F22" i="10" s="1"/>
  <c r="E21" i="10"/>
  <c r="E22" i="10" s="1"/>
  <c r="L20" i="10"/>
  <c r="L21" i="10" s="1"/>
  <c r="L22" i="10" s="1"/>
  <c r="G20" i="10"/>
  <c r="G21" i="10" s="1"/>
  <c r="G22" i="10" s="1"/>
  <c r="V18" i="10"/>
  <c r="U18" i="10"/>
  <c r="T18" i="10"/>
  <c r="P18" i="10"/>
  <c r="O18" i="10"/>
  <c r="N18" i="10"/>
  <c r="M18" i="10"/>
  <c r="L18" i="10"/>
  <c r="K18" i="10"/>
  <c r="J18" i="10"/>
  <c r="I18" i="10"/>
  <c r="H18" i="10"/>
  <c r="G18" i="10"/>
  <c r="F18" i="10"/>
  <c r="E18" i="10"/>
  <c r="U17" i="10"/>
  <c r="U26" i="10" s="1"/>
  <c r="T17" i="10"/>
  <c r="T26" i="10" s="1"/>
  <c r="P17" i="10"/>
  <c r="P26" i="10" s="1"/>
  <c r="O17" i="10"/>
  <c r="O26" i="10" s="1"/>
  <c r="N17" i="10"/>
  <c r="N26" i="10" s="1"/>
  <c r="M17" i="10"/>
  <c r="M26" i="10" s="1"/>
  <c r="K17" i="10"/>
  <c r="K26" i="10" s="1"/>
  <c r="J17" i="10"/>
  <c r="J26" i="10" s="1"/>
  <c r="I17" i="10"/>
  <c r="I26" i="10" s="1"/>
  <c r="H17" i="10"/>
  <c r="H26" i="10" s="1"/>
  <c r="F17" i="10"/>
  <c r="F26" i="10" s="1"/>
  <c r="E17" i="10"/>
  <c r="O22" i="9"/>
  <c r="Q22" i="9" s="1"/>
  <c r="P22" i="9"/>
  <c r="R22" i="9" s="1"/>
  <c r="O23" i="9"/>
  <c r="Q23" i="9" s="1"/>
  <c r="P23" i="9"/>
  <c r="R23" i="9" s="1"/>
  <c r="O24" i="9"/>
  <c r="Q24" i="9" s="1"/>
  <c r="P24" i="9"/>
  <c r="R24" i="9" s="1"/>
  <c r="O25" i="9"/>
  <c r="Q25" i="9" s="1"/>
  <c r="P25" i="9"/>
  <c r="R25" i="9" s="1"/>
  <c r="O26" i="9"/>
  <c r="Q26" i="9" s="1"/>
  <c r="P26" i="9"/>
  <c r="R26" i="9" s="1"/>
  <c r="O27" i="9"/>
  <c r="Q27" i="9" s="1"/>
  <c r="P27" i="9"/>
  <c r="R27" i="9" s="1"/>
  <c r="O28" i="9"/>
  <c r="Q28" i="9" s="1"/>
  <c r="P28" i="9"/>
  <c r="R28" i="9" s="1"/>
  <c r="P21" i="9"/>
  <c r="R21" i="9" s="1"/>
  <c r="O21" i="9"/>
  <c r="Q21" i="9" s="1"/>
  <c r="O19" i="9"/>
  <c r="Q19" i="9" s="1"/>
  <c r="P19" i="9"/>
  <c r="R19" i="9" s="1"/>
  <c r="O20" i="9"/>
  <c r="Q20" i="9" s="1"/>
  <c r="P20" i="9"/>
  <c r="R20" i="9" s="1"/>
  <c r="L11" i="9"/>
  <c r="O11" i="9" s="1"/>
  <c r="Q11" i="9" s="1"/>
  <c r="M11" i="9"/>
  <c r="P11" i="9" s="1"/>
  <c r="R11" i="9" s="1"/>
  <c r="L12" i="9"/>
  <c r="O12" i="9" s="1"/>
  <c r="Q12" i="9" s="1"/>
  <c r="M12" i="9"/>
  <c r="P12" i="9" s="1"/>
  <c r="R12" i="9" s="1"/>
  <c r="L13" i="9"/>
  <c r="O13" i="9" s="1"/>
  <c r="Q13" i="9" s="1"/>
  <c r="M13" i="9"/>
  <c r="P13" i="9" s="1"/>
  <c r="R13" i="9" s="1"/>
  <c r="L14" i="9"/>
  <c r="O14" i="9" s="1"/>
  <c r="Q14" i="9" s="1"/>
  <c r="M14" i="9"/>
  <c r="P14" i="9" s="1"/>
  <c r="R14" i="9" s="1"/>
  <c r="L15" i="9"/>
  <c r="O15" i="9" s="1"/>
  <c r="Q15" i="9" s="1"/>
  <c r="M15" i="9"/>
  <c r="P15" i="9" s="1"/>
  <c r="R15" i="9" s="1"/>
  <c r="L16" i="9"/>
  <c r="O16" i="9" s="1"/>
  <c r="Q16" i="9" s="1"/>
  <c r="M16" i="9"/>
  <c r="P16" i="9" s="1"/>
  <c r="R16" i="9" s="1"/>
  <c r="L17" i="9"/>
  <c r="O17" i="9" s="1"/>
  <c r="Q17" i="9" s="1"/>
  <c r="M17" i="9"/>
  <c r="P17" i="9" s="1"/>
  <c r="R17" i="9" s="1"/>
  <c r="L18" i="9"/>
  <c r="O18" i="9" s="1"/>
  <c r="Q18" i="9" s="1"/>
  <c r="M18" i="9"/>
  <c r="P18" i="9" s="1"/>
  <c r="R18" i="9" s="1"/>
  <c r="L10" i="9"/>
  <c r="O10" i="9" s="1"/>
  <c r="Q10" i="9" s="1"/>
  <c r="M10" i="9"/>
  <c r="P10" i="9" s="1"/>
  <c r="R10" i="9" s="1"/>
  <c r="M9" i="9"/>
  <c r="P9" i="9" s="1"/>
  <c r="R9" i="9" s="1"/>
  <c r="L9" i="9"/>
  <c r="O9" i="9" s="1"/>
  <c r="Q9" i="9" s="1"/>
  <c r="G28" i="9"/>
  <c r="E28" i="9"/>
  <c r="G27" i="9"/>
  <c r="E27" i="9"/>
  <c r="E26" i="9"/>
  <c r="G25" i="9"/>
  <c r="E25" i="9"/>
  <c r="G24" i="9"/>
  <c r="E24" i="9"/>
  <c r="A24" i="9"/>
  <c r="A25" i="9" s="1"/>
  <c r="A26" i="9" s="1"/>
  <c r="A27" i="9" s="1"/>
  <c r="A28" i="9" s="1"/>
  <c r="G23" i="9"/>
  <c r="E23" i="9"/>
  <c r="G22" i="9"/>
  <c r="E22" i="9"/>
  <c r="G21" i="9"/>
  <c r="E21" i="9"/>
  <c r="A21" i="9"/>
  <c r="A22" i="9" s="1"/>
  <c r="G20" i="9"/>
  <c r="E20" i="9"/>
  <c r="G19" i="9"/>
  <c r="E19" i="9"/>
  <c r="G18" i="9"/>
  <c r="E18" i="9"/>
  <c r="G17" i="9"/>
  <c r="E17" i="9"/>
  <c r="G16" i="9"/>
  <c r="E16" i="9"/>
  <c r="G15" i="9"/>
  <c r="E15" i="9"/>
  <c r="G14" i="9"/>
  <c r="E14" i="9"/>
  <c r="G13" i="9"/>
  <c r="E13" i="9"/>
  <c r="G12" i="9"/>
  <c r="E12" i="9"/>
  <c r="G11" i="9"/>
  <c r="E11" i="9"/>
  <c r="G10" i="9"/>
  <c r="E10" i="9"/>
  <c r="A10" i="9"/>
  <c r="A11" i="9" s="1"/>
  <c r="A12" i="9" s="1"/>
  <c r="A13" i="9" s="1"/>
  <c r="A14" i="9" s="1"/>
  <c r="A15" i="9" s="1"/>
  <c r="A16" i="9" s="1"/>
  <c r="A17" i="9" s="1"/>
  <c r="A18" i="9" s="1"/>
  <c r="A19" i="9" s="1"/>
  <c r="G9" i="9"/>
  <c r="E9" i="9"/>
  <c r="H17" i="7"/>
  <c r="I17" i="7"/>
  <c r="J17" i="7"/>
  <c r="M17" i="7"/>
  <c r="N17" i="7"/>
  <c r="O17" i="7"/>
  <c r="P17" i="7"/>
  <c r="Q17" i="7"/>
  <c r="R17" i="7"/>
  <c r="E17" i="7"/>
  <c r="S20" i="7"/>
  <c r="S21" i="7" s="1"/>
  <c r="R20" i="7"/>
  <c r="R21" i="7" s="1"/>
  <c r="T19" i="7"/>
  <c r="T20" i="7" s="1"/>
  <c r="T21" i="7" s="1"/>
  <c r="S16" i="7"/>
  <c r="S25" i="7" s="1"/>
  <c r="R16" i="7"/>
  <c r="R25" i="7" s="1"/>
  <c r="L20" i="7"/>
  <c r="L21" i="7" s="1"/>
  <c r="K20" i="7"/>
  <c r="K21" i="7" s="1"/>
  <c r="J20" i="7"/>
  <c r="J21" i="7" s="1"/>
  <c r="L19" i="7"/>
  <c r="K16" i="7"/>
  <c r="K25" i="7" s="1"/>
  <c r="J16" i="7"/>
  <c r="J25" i="7" s="1"/>
  <c r="M16" i="7"/>
  <c r="N16" i="7"/>
  <c r="O16" i="7"/>
  <c r="M20" i="7"/>
  <c r="M21" i="7" s="1"/>
  <c r="N20" i="7"/>
  <c r="N21" i="7" s="1"/>
  <c r="N22" i="7" s="1"/>
  <c r="O20" i="7"/>
  <c r="O21" i="7" s="1"/>
  <c r="O22" i="7" s="1"/>
  <c r="F20" i="7"/>
  <c r="F21" i="7" s="1"/>
  <c r="E20" i="7"/>
  <c r="E21" i="7" s="1"/>
  <c r="G19" i="7"/>
  <c r="G20" i="7" s="1"/>
  <c r="G21" i="7" s="1"/>
  <c r="F16" i="7"/>
  <c r="F25" i="7" s="1"/>
  <c r="E16" i="7"/>
  <c r="V20" i="8"/>
  <c r="V21" i="8" s="1"/>
  <c r="W19" i="8"/>
  <c r="W20" i="8" s="1"/>
  <c r="W21" i="8" s="1"/>
  <c r="V17" i="8"/>
  <c r="V18" i="8" s="1"/>
  <c r="V16" i="8"/>
  <c r="V25" i="8" s="1"/>
  <c r="K16" i="8"/>
  <c r="K25" i="8" s="1"/>
  <c r="L16" i="8"/>
  <c r="L25" i="8" s="1"/>
  <c r="L17" i="8"/>
  <c r="L18" i="8" s="1"/>
  <c r="K18" i="8"/>
  <c r="M19" i="8"/>
  <c r="M20" i="8" s="1"/>
  <c r="M21" i="8" s="1"/>
  <c r="K20" i="8"/>
  <c r="K21" i="8" s="1"/>
  <c r="L20" i="8"/>
  <c r="L21" i="8" s="1"/>
  <c r="U20" i="8"/>
  <c r="U21" i="8" s="1"/>
  <c r="U18" i="8"/>
  <c r="U16" i="8"/>
  <c r="U25" i="8" s="1"/>
  <c r="T21" i="10" l="1"/>
  <c r="T22" i="10" s="1"/>
  <c r="V20" i="10"/>
  <c r="V21" i="10" s="1"/>
  <c r="V22" i="10" s="1"/>
  <c r="P24" i="10"/>
  <c r="L22" i="8"/>
  <c r="I11" i="5"/>
  <c r="I13" i="5"/>
  <c r="I12" i="5"/>
  <c r="I10" i="5"/>
  <c r="I8" i="5"/>
  <c r="I15" i="5"/>
  <c r="I9" i="5"/>
  <c r="I14" i="5"/>
  <c r="E29" i="9"/>
  <c r="G22" i="11"/>
  <c r="J19" i="11"/>
  <c r="L27" i="11"/>
  <c r="F19" i="11"/>
  <c r="F26" i="11"/>
  <c r="R19" i="11"/>
  <c r="O19" i="11"/>
  <c r="H27" i="11"/>
  <c r="P27" i="11"/>
  <c r="L22" i="11"/>
  <c r="P19" i="11"/>
  <c r="F27" i="11"/>
  <c r="Q19" i="11"/>
  <c r="H19" i="11"/>
  <c r="T19" i="11"/>
  <c r="V19" i="11" s="1"/>
  <c r="I19" i="11"/>
  <c r="K19" i="11"/>
  <c r="V22" i="11"/>
  <c r="N27" i="11"/>
  <c r="E27" i="11"/>
  <c r="G19" i="11"/>
  <c r="T27" i="11"/>
  <c r="V27" i="11"/>
  <c r="M27" i="11"/>
  <c r="U27" i="11"/>
  <c r="O27" i="11"/>
  <c r="R27" i="11"/>
  <c r="R26" i="11"/>
  <c r="I27" i="11"/>
  <c r="U26" i="11"/>
  <c r="Q27" i="11"/>
  <c r="J27" i="11"/>
  <c r="G27" i="11"/>
  <c r="K26" i="11"/>
  <c r="K27" i="11"/>
  <c r="S23" i="11"/>
  <c r="S24" i="11" s="1"/>
  <c r="S25" i="11" s="1"/>
  <c r="U24" i="10"/>
  <c r="Q21" i="10"/>
  <c r="Q22" i="10" s="1"/>
  <c r="Q23" i="10" s="1"/>
  <c r="S20" i="10"/>
  <c r="S21" i="10" s="1"/>
  <c r="S22" i="10" s="1"/>
  <c r="S23" i="10" s="1"/>
  <c r="R24" i="10"/>
  <c r="R27" i="10" s="1"/>
  <c r="V24" i="10"/>
  <c r="Q24" i="10"/>
  <c r="Q27" i="10" s="1"/>
  <c r="S24" i="10"/>
  <c r="R23" i="10"/>
  <c r="L26" i="10"/>
  <c r="L27" i="10" s="1"/>
  <c r="K24" i="10"/>
  <c r="K27" i="10" s="1"/>
  <c r="L24" i="10"/>
  <c r="I23" i="10"/>
  <c r="T23" i="10"/>
  <c r="J23" i="10"/>
  <c r="L23" i="10"/>
  <c r="M24" i="10"/>
  <c r="M27" i="10" s="1"/>
  <c r="M23" i="10"/>
  <c r="H24" i="10"/>
  <c r="H27" i="10" s="1"/>
  <c r="E24" i="10"/>
  <c r="E23" i="10"/>
  <c r="E26" i="10" s="1"/>
  <c r="N24" i="10"/>
  <c r="N27" i="10" s="1"/>
  <c r="N23" i="10"/>
  <c r="H23" i="10"/>
  <c r="U27" i="10"/>
  <c r="U23" i="10"/>
  <c r="K23" i="10"/>
  <c r="V23" i="10"/>
  <c r="I24" i="10"/>
  <c r="I27" i="10" s="1"/>
  <c r="F24" i="10"/>
  <c r="F27" i="10" s="1"/>
  <c r="F23" i="10"/>
  <c r="O23" i="10"/>
  <c r="O24" i="10"/>
  <c r="O27" i="10" s="1"/>
  <c r="J24" i="10"/>
  <c r="J27" i="10" s="1"/>
  <c r="T24" i="10"/>
  <c r="T27" i="10" s="1"/>
  <c r="G24" i="10"/>
  <c r="G23" i="10"/>
  <c r="P27" i="10"/>
  <c r="P23" i="10"/>
  <c r="V26" i="10"/>
  <c r="M22" i="7"/>
  <c r="J23" i="7"/>
  <c r="J26" i="7" s="1"/>
  <c r="E23" i="7"/>
  <c r="R23" i="7"/>
  <c r="R26" i="7" s="1"/>
  <c r="R22" i="7"/>
  <c r="T25" i="7"/>
  <c r="L25" i="7"/>
  <c r="J22" i="7"/>
  <c r="E22" i="7"/>
  <c r="E25" i="7" s="1"/>
  <c r="M17" i="8"/>
  <c r="M18" i="8" s="1"/>
  <c r="K23" i="8"/>
  <c r="K26" i="8" s="1"/>
  <c r="K22" i="8"/>
  <c r="W17" i="8"/>
  <c r="W18" i="8" s="1"/>
  <c r="W25" i="8"/>
  <c r="V23" i="8"/>
  <c r="V26" i="8" s="1"/>
  <c r="V22" i="8"/>
  <c r="M22" i="8"/>
  <c r="M23" i="8"/>
  <c r="M25" i="8"/>
  <c r="L23" i="8"/>
  <c r="L26" i="8" s="1"/>
  <c r="U22" i="8"/>
  <c r="U23" i="8"/>
  <c r="U26" i="8" s="1"/>
  <c r="G19" i="8"/>
  <c r="G20" i="8" s="1"/>
  <c r="G21" i="8" s="1"/>
  <c r="F17" i="8"/>
  <c r="F18" i="8" s="1"/>
  <c r="T20" i="8"/>
  <c r="T21" i="8" s="1"/>
  <c r="T22" i="8" s="1"/>
  <c r="S20" i="8"/>
  <c r="S21" i="8" s="1"/>
  <c r="R20" i="8"/>
  <c r="R21" i="8" s="1"/>
  <c r="Q20" i="8"/>
  <c r="Q21" i="8" s="1"/>
  <c r="P20" i="8"/>
  <c r="P21" i="8" s="1"/>
  <c r="F20" i="8"/>
  <c r="F21" i="8" s="1"/>
  <c r="E20" i="8"/>
  <c r="E21" i="8" s="1"/>
  <c r="T18" i="8"/>
  <c r="S18" i="8"/>
  <c r="R18" i="8"/>
  <c r="Q18" i="8"/>
  <c r="P18" i="8"/>
  <c r="E18" i="8"/>
  <c r="T16" i="8"/>
  <c r="T25" i="8" s="1"/>
  <c r="S16" i="8"/>
  <c r="S25" i="8" s="1"/>
  <c r="R16" i="8"/>
  <c r="R25" i="8" s="1"/>
  <c r="Q16" i="8"/>
  <c r="Q25" i="8" s="1"/>
  <c r="P16" i="8"/>
  <c r="P25" i="8" s="1"/>
  <c r="F16" i="8"/>
  <c r="F25" i="8" s="1"/>
  <c r="E16" i="8"/>
  <c r="I16" i="7"/>
  <c r="I25" i="7" s="1"/>
  <c r="O25" i="7"/>
  <c r="P16" i="7"/>
  <c r="P25" i="7" s="1"/>
  <c r="Q16" i="7"/>
  <c r="Q25" i="7" s="1"/>
  <c r="I20" i="7"/>
  <c r="I21" i="7" s="1"/>
  <c r="I22" i="7" s="1"/>
  <c r="M23" i="7"/>
  <c r="P20" i="7"/>
  <c r="P21" i="7" s="1"/>
  <c r="Q20" i="7"/>
  <c r="Q21" i="7" s="1"/>
  <c r="Q23" i="7" s="1"/>
  <c r="M25" i="7"/>
  <c r="N25" i="7"/>
  <c r="H16" i="7"/>
  <c r="H25" i="7" s="1"/>
  <c r="H20" i="7"/>
  <c r="H21" i="7" s="1"/>
  <c r="M26" i="8" l="1"/>
  <c r="L19" i="11"/>
  <c r="S19" i="11"/>
  <c r="S22" i="11"/>
  <c r="S27" i="11"/>
  <c r="S26" i="10"/>
  <c r="S27" i="10" s="1"/>
  <c r="V27" i="10"/>
  <c r="E27" i="10"/>
  <c r="G26" i="10"/>
  <c r="G27" i="10" s="1"/>
  <c r="E26" i="7"/>
  <c r="G25" i="7"/>
  <c r="G26" i="7" s="1"/>
  <c r="W23" i="8"/>
  <c r="W26" i="8" s="1"/>
  <c r="G17" i="8"/>
  <c r="G18" i="8" s="1"/>
  <c r="R22" i="8"/>
  <c r="R23" i="8"/>
  <c r="R26" i="8" s="1"/>
  <c r="W22" i="8"/>
  <c r="F23" i="8"/>
  <c r="F26" i="8" s="1"/>
  <c r="F22" i="8"/>
  <c r="E23" i="8"/>
  <c r="E22" i="8"/>
  <c r="E25" i="8" s="1"/>
  <c r="P22" i="8"/>
  <c r="P23" i="8"/>
  <c r="P26" i="8" s="1"/>
  <c r="Q23" i="8"/>
  <c r="Q26" i="8" s="1"/>
  <c r="Q22" i="8"/>
  <c r="S23" i="8"/>
  <c r="S26" i="8" s="1"/>
  <c r="S22" i="8"/>
  <c r="T23" i="8"/>
  <c r="T26" i="8" s="1"/>
  <c r="I23" i="7"/>
  <c r="I26" i="7" s="1"/>
  <c r="N23" i="7"/>
  <c r="N26" i="7" s="1"/>
  <c r="Q26" i="7"/>
  <c r="Q22" i="7"/>
  <c r="M26" i="7"/>
  <c r="P22" i="7"/>
  <c r="P23" i="7"/>
  <c r="P26" i="7" s="1"/>
  <c r="O23" i="7"/>
  <c r="O26" i="7" s="1"/>
  <c r="H23" i="7"/>
  <c r="H26" i="7" s="1"/>
  <c r="H22" i="7"/>
  <c r="E16" i="6"/>
  <c r="G16" i="6"/>
  <c r="H16" i="6" s="1"/>
  <c r="K17" i="6"/>
  <c r="L17" i="6" s="1"/>
  <c r="P17" i="5"/>
  <c r="L17" i="5"/>
  <c r="O17" i="5" s="1"/>
  <c r="D17" i="5"/>
  <c r="G17" i="5" s="1"/>
  <c r="D32" i="1"/>
  <c r="M20" i="1"/>
  <c r="L20" i="1"/>
  <c r="G20" i="1"/>
  <c r="E20" i="1"/>
  <c r="M31" i="1"/>
  <c r="L31" i="1"/>
  <c r="G31" i="1"/>
  <c r="E31" i="1"/>
  <c r="L10" i="1"/>
  <c r="M10" i="1"/>
  <c r="L11" i="1"/>
  <c r="M11" i="1"/>
  <c r="L12" i="1"/>
  <c r="M12" i="1"/>
  <c r="L13" i="1"/>
  <c r="M13" i="1"/>
  <c r="L14" i="1"/>
  <c r="M14" i="1"/>
  <c r="L15" i="1"/>
  <c r="M15" i="1"/>
  <c r="L16" i="1"/>
  <c r="M16" i="1"/>
  <c r="L17" i="1"/>
  <c r="M17" i="1"/>
  <c r="L18" i="1"/>
  <c r="M18" i="1"/>
  <c r="L19" i="1"/>
  <c r="M19" i="1"/>
  <c r="L21" i="1"/>
  <c r="M21" i="1"/>
  <c r="M9" i="1"/>
  <c r="L9" i="1"/>
  <c r="I16" i="6" l="1"/>
  <c r="J16" i="6"/>
  <c r="Q12" i="5"/>
  <c r="S17" i="5"/>
  <c r="J15" i="5"/>
  <c r="J13" i="5"/>
  <c r="J12" i="5"/>
  <c r="J11" i="5"/>
  <c r="J10" i="5"/>
  <c r="J9" i="5"/>
  <c r="J14" i="5"/>
  <c r="E13" i="5"/>
  <c r="F13" i="5" s="1"/>
  <c r="E14" i="5"/>
  <c r="F14" i="5" s="1"/>
  <c r="E12" i="5"/>
  <c r="F12" i="5" s="1"/>
  <c r="E9" i="5"/>
  <c r="F9" i="5" s="1"/>
  <c r="E10" i="5"/>
  <c r="F10" i="5" s="1"/>
  <c r="E15" i="5"/>
  <c r="F15" i="5" s="1"/>
  <c r="E8" i="5"/>
  <c r="D18" i="5"/>
  <c r="E11" i="5"/>
  <c r="F11" i="5" s="1"/>
  <c r="M11" i="5"/>
  <c r="N11" i="5" s="1"/>
  <c r="M9" i="5"/>
  <c r="N9" i="5" s="1"/>
  <c r="M13" i="5"/>
  <c r="N13" i="5" s="1"/>
  <c r="M15" i="5"/>
  <c r="N15" i="5" s="1"/>
  <c r="M12" i="5"/>
  <c r="N12" i="5" s="1"/>
  <c r="M14" i="5"/>
  <c r="N14" i="5" s="1"/>
  <c r="M8" i="5"/>
  <c r="L18" i="5"/>
  <c r="M10" i="5"/>
  <c r="N10" i="5" s="1"/>
  <c r="P18" i="5"/>
  <c r="Q8" i="5"/>
  <c r="Q9" i="5"/>
  <c r="Q10" i="5"/>
  <c r="Q11" i="5"/>
  <c r="Q14" i="5"/>
  <c r="Q15" i="5"/>
  <c r="Q13" i="5"/>
  <c r="G22" i="8"/>
  <c r="G23" i="8"/>
  <c r="G25" i="8"/>
  <c r="G26" i="8" s="1"/>
  <c r="E26" i="8"/>
  <c r="M17" i="6"/>
  <c r="M24" i="1"/>
  <c r="L24" i="1"/>
  <c r="G24" i="1"/>
  <c r="E24" i="1"/>
  <c r="E25" i="1"/>
  <c r="G25" i="1"/>
  <c r="L25" i="1"/>
  <c r="M25" i="1"/>
  <c r="J8" i="5" l="1"/>
  <c r="I17" i="5"/>
  <c r="E17" i="5"/>
  <c r="F8" i="5"/>
  <c r="N8" i="5"/>
  <c r="M17" i="5"/>
  <c r="Q17" i="5"/>
  <c r="L22" i="1"/>
  <c r="M22" i="1"/>
  <c r="L23" i="1"/>
  <c r="M23" i="1"/>
  <c r="L26" i="1"/>
  <c r="M26" i="1"/>
  <c r="L27" i="1"/>
  <c r="M27" i="1"/>
  <c r="L28" i="1"/>
  <c r="M28" i="1"/>
  <c r="L29" i="1"/>
  <c r="M29" i="1"/>
  <c r="L30" i="1"/>
  <c r="M30" i="1"/>
  <c r="G10" i="1"/>
  <c r="G11" i="1"/>
  <c r="G12" i="1"/>
  <c r="G13" i="1"/>
  <c r="G14" i="1"/>
  <c r="G15" i="1"/>
  <c r="G16" i="1"/>
  <c r="G17" i="1"/>
  <c r="G18" i="1"/>
  <c r="G19" i="1"/>
  <c r="G21" i="1"/>
  <c r="G22" i="1"/>
  <c r="G23" i="1"/>
  <c r="G26" i="1"/>
  <c r="G27" i="1"/>
  <c r="G28" i="1"/>
  <c r="G29" i="1"/>
  <c r="G30" i="1"/>
  <c r="G9" i="1"/>
  <c r="E10" i="1"/>
  <c r="E11" i="1"/>
  <c r="E12" i="1"/>
  <c r="E13" i="1"/>
  <c r="E14" i="1"/>
  <c r="E15" i="1"/>
  <c r="E16" i="1"/>
  <c r="E17" i="1"/>
  <c r="E18" i="1"/>
  <c r="E19" i="1"/>
  <c r="E21" i="1"/>
  <c r="E22" i="1"/>
  <c r="E23" i="1"/>
  <c r="E26" i="1"/>
  <c r="E27" i="1"/>
  <c r="E28" i="1"/>
  <c r="E29" i="1"/>
  <c r="E30" i="1"/>
  <c r="E9" i="1"/>
  <c r="E32" i="1"/>
  <c r="A10" i="1"/>
  <c r="A11" i="1" s="1"/>
  <c r="A12" i="1" s="1"/>
  <c r="A13" i="1" s="1"/>
  <c r="A14" i="1" s="1"/>
  <c r="A15" i="1" s="1"/>
  <c r="A16" i="1" s="1"/>
  <c r="A17" i="1" s="1"/>
  <c r="A18" i="1" s="1"/>
  <c r="A19" i="1" s="1"/>
  <c r="A22" i="1" s="1"/>
  <c r="A23" i="1" s="1"/>
  <c r="A26" i="1" l="1"/>
  <c r="A27" i="1" s="1"/>
  <c r="A28" i="1" s="1"/>
  <c r="A29" i="1" s="1"/>
  <c r="A30" i="1" s="1"/>
  <c r="F17" i="7"/>
  <c r="F23" i="7" s="1"/>
  <c r="F26" i="7" s="1"/>
  <c r="G17" i="7"/>
  <c r="G22" i="7" s="1"/>
  <c r="G23" i="7" l="1"/>
  <c r="F22" i="7"/>
  <c r="L17" i="7"/>
  <c r="L22" i="7" s="1"/>
  <c r="K17" i="7"/>
  <c r="K23" i="7" s="1"/>
  <c r="K26" i="7" s="1"/>
  <c r="K22" i="7" l="1"/>
  <c r="L23" i="7"/>
  <c r="L26" i="7" s="1"/>
  <c r="T17" i="7"/>
  <c r="T22" i="7" s="1"/>
  <c r="S17" i="7"/>
  <c r="S22" i="7" s="1"/>
  <c r="S23" i="7" l="1"/>
  <c r="S26" i="7" s="1"/>
  <c r="T23" i="7"/>
  <c r="T26" i="7" s="1"/>
</calcChain>
</file>

<file path=xl/sharedStrings.xml><?xml version="1.0" encoding="utf-8"?>
<sst xmlns="http://schemas.openxmlformats.org/spreadsheetml/2006/main" count="1363" uniqueCount="252">
  <si>
    <t>TABLE</t>
  </si>
  <si>
    <t>SEDIMENT BULKING FACTORS</t>
  </si>
  <si>
    <t>(Flow Ratios within HEC-HMS)</t>
  </si>
  <si>
    <t>Analysis Point</t>
  </si>
  <si>
    <t>Description</t>
  </si>
  <si>
    <t>Area</t>
  </si>
  <si>
    <t>Tc</t>
  </si>
  <si>
    <t>Lag Time</t>
  </si>
  <si>
    <t>Curve Number</t>
  </si>
  <si>
    <t>Sediment Bulking Factor</t>
  </si>
  <si>
    <t>sq mi</t>
  </si>
  <si>
    <t>min</t>
  </si>
  <si>
    <t>%</t>
  </si>
  <si>
    <t xml:space="preserve"> </t>
  </si>
  <si>
    <t>A</t>
  </si>
  <si>
    <t>c</t>
  </si>
  <si>
    <t>B</t>
  </si>
  <si>
    <t>C</t>
  </si>
  <si>
    <t>D</t>
  </si>
  <si>
    <t>E</t>
  </si>
  <si>
    <t>F</t>
  </si>
  <si>
    <t>G</t>
  </si>
  <si>
    <t>H</t>
  </si>
  <si>
    <t>I</t>
  </si>
  <si>
    <t>J</t>
  </si>
  <si>
    <t>K</t>
  </si>
  <si>
    <t>L</t>
  </si>
  <si>
    <t>M</t>
  </si>
  <si>
    <t>N</t>
  </si>
  <si>
    <t>O</t>
  </si>
  <si>
    <t>P</t>
  </si>
  <si>
    <t>Q</t>
  </si>
  <si>
    <t>R</t>
  </si>
  <si>
    <t>S</t>
  </si>
  <si>
    <t>T</t>
  </si>
  <si>
    <t>Sedillo Canyon and Tijeras Arroyo Headwaters</t>
  </si>
  <si>
    <t>Tablazon Canyon</t>
  </si>
  <si>
    <t>Los Pinos Area / Sunset Canyon</t>
  </si>
  <si>
    <t>Gutierrez Canyon</t>
  </si>
  <si>
    <t>San Antonio Arroyo / Zamora</t>
  </si>
  <si>
    <t>Primera Agua Canyon</t>
  </si>
  <si>
    <t>Cedro Canyon</t>
  </si>
  <si>
    <t>Hondo Canyon</t>
  </si>
  <si>
    <t>Seven Springs</t>
  </si>
  <si>
    <t>Coyote Spring Rd. Three Gun Springs / Montecello</t>
  </si>
  <si>
    <t>Carnuel / Four Hills Rd.</t>
  </si>
  <si>
    <t>Sandia Foothills / Tramway Blvd. Channel</t>
  </si>
  <si>
    <t>Juan Tabo Blvd.</t>
  </si>
  <si>
    <t>Pennsylvania St.</t>
  </si>
  <si>
    <t>Madera Canyon / Upper Coyote Arroyo</t>
  </si>
  <si>
    <t>University Blvd.</t>
  </si>
  <si>
    <t>Near I-25 at Gaging Station</t>
  </si>
  <si>
    <t>TOTAL</t>
  </si>
  <si>
    <t>Existing Conditions</t>
  </si>
  <si>
    <t>Future Conditions</t>
  </si>
  <si>
    <t>Existing and Future Conditions</t>
  </si>
  <si>
    <t>Imper- viousness</t>
  </si>
  <si>
    <t>Impeviousness</t>
  </si>
  <si>
    <t>50% developed</t>
  </si>
  <si>
    <t xml:space="preserve">undeveloped </t>
  </si>
  <si>
    <t>Watershed Development Level</t>
  </si>
  <si>
    <t xml:space="preserve">Fully developed  </t>
  </si>
  <si>
    <t>a</t>
  </si>
  <si>
    <t xml:space="preserve">a </t>
  </si>
  <si>
    <t>Sed- iment Bulking Factor</t>
  </si>
  <si>
    <t>Imperv- iousness</t>
  </si>
  <si>
    <t xml:space="preserve">a  b  </t>
  </si>
  <si>
    <t>b  -  Assume that watershed development level is represented by the assumed % imperviousness</t>
  </si>
  <si>
    <t>Eubank Blvd.</t>
  </si>
  <si>
    <t>Coyote Arroyo / Munition Haul Rd. (Louisianna Blvd.)</t>
  </si>
  <si>
    <t>Ira Sprecker Rd.</t>
  </si>
  <si>
    <t>14 R</t>
  </si>
  <si>
    <t>*</t>
  </si>
  <si>
    <t>Subbasin Name</t>
  </si>
  <si>
    <r>
      <rPr>
        <b/>
        <sz val="14"/>
        <color theme="1"/>
        <rFont val="Arial"/>
        <family val="2"/>
      </rPr>
      <t xml:space="preserve">* </t>
    </r>
    <r>
      <rPr>
        <sz val="11"/>
        <color theme="1"/>
        <rFont val="Arial"/>
        <family val="2"/>
      </rPr>
      <t xml:space="preserve">  Except for subbasin names ending in "R", all subbasin names and data (except sediment bulking factors)  are from -  Huitt-Zollars, Inc., September 25, 2015, “Final Drainage Study Tijeras Arroyo Hydrologic Study”. Prepared for the Albuquerque Metropolitan Arroyo Flood Control Authority.  Subbasin 14R revision is shown in RED, and reflects the additional % imperviousness due to the proposed Juan Tabo Hill Unit III subdivision (see Figure XX Drainage Basin Map).</t>
    </r>
  </si>
  <si>
    <t>TABLE HD</t>
  </si>
  <si>
    <t>YELLOW NEED TO REFINE</t>
  </si>
  <si>
    <t>SEDIMENT BULKING FACTORS for WESTERN SUBBASINS</t>
  </si>
  <si>
    <t>West of Four Hills Road</t>
  </si>
  <si>
    <t>SEDIMENT BULKING FACTORS for EASTERN SUBBASINS</t>
  </si>
  <si>
    <t>East of Four Hills Road</t>
  </si>
  <si>
    <t>West of Four Hills Rd. 0% Watershed Development Level</t>
  </si>
  <si>
    <t>West of Four Hills Road - 50% developed</t>
  </si>
  <si>
    <t xml:space="preserve">West of Four Hills Rd. 100% Fully developed  </t>
  </si>
  <si>
    <t>East of Four Hills Rd. 0% Watershed Development Level</t>
  </si>
  <si>
    <t>East of Four Hills Road - 50% developed</t>
  </si>
  <si>
    <t xml:space="preserve">East of Four Hills Rd. 100% Fully developed  </t>
  </si>
  <si>
    <r>
      <t>c - Sediment Bulking Equation Ea</t>
    </r>
    <r>
      <rPr>
        <b/>
        <sz val="12"/>
        <color theme="1"/>
        <rFont val="Arial"/>
        <family val="2"/>
      </rPr>
      <t>st</t>
    </r>
    <r>
      <rPr>
        <sz val="12"/>
        <color theme="1"/>
        <rFont val="Arial"/>
        <family val="2"/>
      </rPr>
      <t xml:space="preserve"> of Four Hills Road    (Subbasins 1 - 12 )</t>
    </r>
  </si>
  <si>
    <r>
      <t xml:space="preserve">c - Sediment Bulking Equation </t>
    </r>
    <r>
      <rPr>
        <b/>
        <sz val="12"/>
        <color theme="1"/>
        <rFont val="Arial"/>
        <family val="2"/>
      </rPr>
      <t>West</t>
    </r>
    <r>
      <rPr>
        <sz val="12"/>
        <color theme="1"/>
        <rFont val="Arial"/>
        <family val="2"/>
      </rPr>
      <t xml:space="preserve"> of Four Hills Road    (Subbasins 13 - 20 )</t>
    </r>
  </si>
  <si>
    <r>
      <t xml:space="preserve">     Sediment Bulking Factor %  =  0.0002 ( % imperviousness) </t>
    </r>
    <r>
      <rPr>
        <vertAlign val="superscript"/>
        <sz val="12"/>
        <color theme="1"/>
        <rFont val="Arial"/>
        <family val="2"/>
      </rPr>
      <t>2</t>
    </r>
    <r>
      <rPr>
        <sz val="12"/>
        <color theme="1"/>
        <rFont val="Arial"/>
        <family val="2"/>
      </rPr>
      <t xml:space="preserve">  -  0.05 ( % imperviousness)  +  10       (See Figure SBE attached)</t>
    </r>
  </si>
  <si>
    <r>
      <t xml:space="preserve">     Sediment Bulking Factor %  =  0.0004 ( % imperviousness) </t>
    </r>
    <r>
      <rPr>
        <vertAlign val="superscript"/>
        <sz val="12"/>
        <color theme="1"/>
        <rFont val="Arial"/>
        <family val="2"/>
      </rPr>
      <t>2</t>
    </r>
    <r>
      <rPr>
        <sz val="12"/>
        <color theme="1"/>
        <rFont val="Arial"/>
        <family val="2"/>
      </rPr>
      <t xml:space="preserve">  -  0.14 ( % imperviousness)  +  17       (See Figure SBW attached)</t>
    </r>
  </si>
  <si>
    <t>Assumed due to larger sediment sizes near the Sandia and Manzano Mountains</t>
  </si>
  <si>
    <t>c - West Equation developed based on the following data that was originally developed based on AMAFCA sediment haul records as described in the Flood Insurance Study Report (FEMA, August 2012).  East values below based on assumption as shown below.</t>
  </si>
  <si>
    <t>20R</t>
  </si>
  <si>
    <t xml:space="preserve">11R </t>
  </si>
  <si>
    <t xml:space="preserve">TABLE </t>
  </si>
  <si>
    <t xml:space="preserve">FUTURE DEVELOPMENT </t>
  </si>
  <si>
    <t>PERCENT IMPERVIOUSNESS ADJUSTMENTSS</t>
  </si>
  <si>
    <r>
      <rPr>
        <b/>
        <sz val="11"/>
        <color theme="1"/>
        <rFont val="Arial Narrow"/>
        <family val="2"/>
      </rPr>
      <t>Purpose</t>
    </r>
    <r>
      <rPr>
        <sz val="11"/>
        <color theme="1"/>
        <rFont val="Arial Narrow"/>
        <family val="2"/>
      </rPr>
      <t xml:space="preserve"> - Revise the % imperviousness for subbasins 11R, 14R and 20R to reflect proposed developments for the Future Development Conditions HEC-HMS models</t>
    </r>
  </si>
  <si>
    <t>Subbasin Area</t>
  </si>
  <si>
    <t>acres</t>
  </si>
  <si>
    <t>Existing Subbasin % Imperviousness</t>
  </si>
  <si>
    <t>Proposed Development Name</t>
  </si>
  <si>
    <t>Proposed Development Type</t>
  </si>
  <si>
    <t>Total Development Area</t>
  </si>
  <si>
    <t>Development Type</t>
  </si>
  <si>
    <t>Imperviousness</t>
  </si>
  <si>
    <t>Industrial</t>
  </si>
  <si>
    <t>Commercial</t>
  </si>
  <si>
    <t>Multi-Family</t>
  </si>
  <si>
    <t>Single Family</t>
  </si>
  <si>
    <t>Parks and Recreation</t>
  </si>
  <si>
    <t>Utility</t>
  </si>
  <si>
    <t>Open Space</t>
  </si>
  <si>
    <t>Development Type Area</t>
  </si>
  <si>
    <t>Composite Development Imperviousness (areal weighted)</t>
  </si>
  <si>
    <t>Source of % Imper- viousness</t>
  </si>
  <si>
    <t>--</t>
  </si>
  <si>
    <t>Total</t>
  </si>
  <si>
    <t>Composite</t>
  </si>
  <si>
    <t xml:space="preserve">COMPOSITE IMPERVIOUSNESS COMPUTATIONS FOR EXISTING SUBBAINS (12 - 20)  </t>
  </si>
  <si>
    <t>a  -- City of Albuquerque Development Process Manul Chapter 22 , Table A-5</t>
  </si>
  <si>
    <t>sq ft</t>
  </si>
  <si>
    <t>Total Subbasin Area</t>
  </si>
  <si>
    <t>Total Develop ment Area</t>
  </si>
  <si>
    <t>Compostie Subbasin Imperviousness</t>
  </si>
  <si>
    <t>Total Undevel oped Area</t>
  </si>
  <si>
    <t>SUBBASIN NAME  and  Development Type</t>
  </si>
  <si>
    <t xml:space="preserve">SUBBASIN 12 </t>
  </si>
  <si>
    <t xml:space="preserve"> b </t>
  </si>
  <si>
    <t>b -  A visual estimate based on drainage basin map / google earth</t>
  </si>
  <si>
    <t>Units</t>
  </si>
  <si>
    <t>Total Undeveloped Area</t>
  </si>
  <si>
    <t>SUBBASIN NAME</t>
  </si>
  <si>
    <t xml:space="preserve">Development Type Area </t>
  </si>
  <si>
    <t>---</t>
  </si>
  <si>
    <t>b</t>
  </si>
  <si>
    <t>Undeveloped Imperviousness</t>
  </si>
  <si>
    <t>d</t>
  </si>
  <si>
    <t xml:space="preserve">Impeviousness Values Assigned to a Development Type </t>
  </si>
  <si>
    <t xml:space="preserve">c -  This value applied to compute the sediment bulking factor.   </t>
  </si>
  <si>
    <t>a  - City of Albuquerque Development Process Manul Chapter 22 , Table A-5</t>
  </si>
  <si>
    <t>Foot notes</t>
  </si>
  <si>
    <t xml:space="preserve">Develop ment Type Area </t>
  </si>
  <si>
    <t>TOTALS</t>
  </si>
  <si>
    <t>Composite Subbasin Imperviousness</t>
  </si>
  <si>
    <t>d -  This value applied in HEC-HMS model within the subbasin data</t>
  </si>
  <si>
    <t>COMPOSITE IMPERVIOUSNESS COMPUTATIONS FOR EXISTING SUBBASINS 12-20</t>
  </si>
  <si>
    <t>-</t>
  </si>
  <si>
    <t>11 Proposed West Tijeras Canyon Estates</t>
  </si>
  <si>
    <t>11 Proposed Total Subbasin</t>
  </si>
  <si>
    <t>e</t>
  </si>
  <si>
    <t>11              Existing Subbasin</t>
  </si>
  <si>
    <t>e -  For the existing subbasin, the value of 19,700,000 sq ft was assumed by Smith Engineering and is assumed to represent development and rock outcrop % imperviousness for Subbasin 11 in order to match the Huitt-Zollers % imperviousness for Subbasin 11 listed as 17%</t>
  </si>
  <si>
    <t xml:space="preserve">f </t>
  </si>
  <si>
    <t>d,  f</t>
  </si>
  <si>
    <t xml:space="preserve">f -  For Subbasin 11 existing conditions, assume the value of 17% from the "Total Development Area", and assume the "Composite Development Imperviousness (aerial weighted) for "Proposed Total Subbasin" for Subbasin 11  </t>
  </si>
  <si>
    <t>14 Existing Subbasin</t>
  </si>
  <si>
    <t>14 Proposed Juan Tabo Hills Estates</t>
  </si>
  <si>
    <t>14 Proposed Total Subbasin</t>
  </si>
  <si>
    <t>Development Type / Land Use</t>
  </si>
  <si>
    <t>b -  A visual estimate of the development type / land use based on the drainage basin map / google earth</t>
  </si>
  <si>
    <t>20 Existing Subbasin</t>
  </si>
  <si>
    <t>20 Proposed Total Subbasin</t>
  </si>
  <si>
    <t>12              Existing Subbasin</t>
  </si>
  <si>
    <t>13             Existing Subbasin</t>
  </si>
  <si>
    <t>15             Existing Subbasin</t>
  </si>
  <si>
    <t>16              Existing Subbasin</t>
  </si>
  <si>
    <t>17              Existing Subbasin</t>
  </si>
  <si>
    <t>18              Existing Subbasin</t>
  </si>
  <si>
    <t>19              Existing Subbasin</t>
  </si>
  <si>
    <t>20 Proposed Valle Del Sol</t>
  </si>
  <si>
    <t xml:space="preserve">Total </t>
  </si>
  <si>
    <t>YELLOW = CORRECT</t>
  </si>
  <si>
    <t xml:space="preserve">COMPOSITE IMPERVIOUSNESS COMPUTATIONS FOR EXISTING and FUTURE SUBBASINS  </t>
  </si>
  <si>
    <t>11 Future West Tijeras Canyon Estates</t>
  </si>
  <si>
    <t>11 Future Total Subbasin</t>
  </si>
  <si>
    <t>14 Future Juan Tabo Hills Estates</t>
  </si>
  <si>
    <t>14 Future Total Subbasin</t>
  </si>
  <si>
    <t>20 Future Valle Del Sol</t>
  </si>
  <si>
    <t>20 Future Total Subbasin</t>
  </si>
  <si>
    <t xml:space="preserve">c -  This total development area and percent of total development in the subbasin regardless of development.  This % value is applied to compute the sediment bulking factor.   </t>
  </si>
  <si>
    <t>NEED FROM CHRIS -  The total area of all development regardless of type</t>
  </si>
  <si>
    <t>Base Values</t>
  </si>
  <si>
    <t xml:space="preserve">Impeviousness Base Values Assigned to a Development Type </t>
  </si>
  <si>
    <t>Existing Condtiions Subbasin Total Development</t>
  </si>
  <si>
    <t>Future Condtiions Subbasin Total Development</t>
  </si>
  <si>
    <t xml:space="preserve">a  </t>
  </si>
  <si>
    <t xml:space="preserve">a   </t>
  </si>
  <si>
    <t>FLOW RATIO</t>
  </si>
  <si>
    <t>TABLE HD SMITH</t>
  </si>
  <si>
    <t>Base Value for Imper- viousness</t>
  </si>
  <si>
    <t>Source of Base Value for % Imper- viousness</t>
  </si>
  <si>
    <t>a  *</t>
  </si>
  <si>
    <t>a  - City of Albuquerque Development Process Manul Chapter 22 , Table A-5,   a  *  values were assumed by Smith Engineering Company</t>
  </si>
  <si>
    <t>Develop ment Type Area</t>
  </si>
  <si>
    <t>Develop ment Type % of Total</t>
  </si>
  <si>
    <t>Values of Develop ment Type</t>
  </si>
  <si>
    <t>COMPOSITE IMPERVIOUSNESS DATA FOR PROPOSED DEVELOPMENTS</t>
  </si>
  <si>
    <t>Valle Del Sol   ( c )                    Subbasin 20</t>
  </si>
  <si>
    <t>Juan Tabo Hills Estates ( d ) Subbasin 14</t>
  </si>
  <si>
    <t>West Tijeras Canyon Estates ( e )  Subbasin 11</t>
  </si>
  <si>
    <t>Single Family (6 units / acre)</t>
  </si>
  <si>
    <t>Single Family (1 units / acre)</t>
  </si>
  <si>
    <t>Single Family (6 units / ac)</t>
  </si>
  <si>
    <t>Single Family (1 unit / ac)</t>
  </si>
  <si>
    <t>11 Future West Tijeras Canyon Estates (Phase 1, 2 and 3)</t>
  </si>
  <si>
    <t xml:space="preserve">c  - Located in Subbasin 20.  Based on a Preliminary Site Plan for the proposed Valle Del Sol Development , prepared by the Telck-Henslye Engineering Group, May 2007 as provided by AMAFCA.   </t>
  </si>
  <si>
    <t xml:space="preserve">    Total residential lot acreage (1 acre lots)  Phases 1, 2 and 3 = 118 acres                             Total Commercial Acrege Phase 3 = 28 acres</t>
  </si>
  <si>
    <t>19 Future Valle Del Sol</t>
  </si>
  <si>
    <t>19 Future Total Subbasin</t>
  </si>
  <si>
    <t>Valle Del Sol   ( c )                    Subbasin 19</t>
  </si>
  <si>
    <t>e -  This value applied in HEC-HMS model within the subbasin data</t>
  </si>
  <si>
    <r>
      <t xml:space="preserve">d -  See Table </t>
    </r>
    <r>
      <rPr>
        <sz val="10"/>
        <color rgb="FFFF0000"/>
        <rFont val="Arial Narrow"/>
        <family val="2"/>
      </rPr>
      <t>Proposed Development</t>
    </r>
    <r>
      <rPr>
        <sz val="10"/>
        <color theme="1"/>
        <rFont val="Arial Narrow"/>
        <family val="2"/>
      </rPr>
      <t>s for more information</t>
    </r>
  </si>
  <si>
    <t>c   f</t>
  </si>
  <si>
    <t>Total Future Development Area (relative to total subbasin area)</t>
  </si>
  <si>
    <t>Development of Total Subbasin</t>
  </si>
  <si>
    <t xml:space="preserve">c -  This is the total development area and percent of total development in the subbasin regardless of development type.  This % value is applied to compute the sediment bulking factor.   </t>
  </si>
  <si>
    <t>d   e</t>
  </si>
  <si>
    <r>
      <t xml:space="preserve">f  - Unbolded values are computed as 100% (total basin) - % of Open Space or undeveloped land,  </t>
    </r>
    <r>
      <rPr>
        <b/>
        <sz val="10"/>
        <color theme="1"/>
        <rFont val="Arial Narrow"/>
        <family val="2"/>
      </rPr>
      <t>BOLDED</t>
    </r>
    <r>
      <rPr>
        <sz val="10"/>
        <color theme="1"/>
        <rFont val="Arial Narrow"/>
        <family val="2"/>
      </rPr>
      <t xml:space="preserve"> values are computed as the Total Development Area (sq mi ) / Total Subbasin Area (sq mi) * 100</t>
    </r>
  </si>
  <si>
    <t>Open Space - Undeveloped</t>
  </si>
  <si>
    <t>COMPOSITE IMPERVIOUSNESS COMPUTATIONS FOR EXISTING and FUTURE SUBBASINS  (g)</t>
  </si>
  <si>
    <t>Imper- viousness Base Values</t>
  </si>
  <si>
    <t>e - This value applied in HEC-HMS model within the subbasin data as the subbasin % imperviousness</t>
  </si>
  <si>
    <t>b  d</t>
  </si>
  <si>
    <t xml:space="preserve">SUBBASIN  </t>
  </si>
  <si>
    <t xml:space="preserve">HYDROLOGIC DATA SUMMARY   </t>
  </si>
  <si>
    <t>d - West Equation developed based on the following data that was originally developed based on AMAFCA sediment haul records as described in the Flood Insurance Study Report (FEMA, August 2012).  East Equation values below based on assumption as shown below.</t>
  </si>
  <si>
    <t>b -  A visual estimate of the development type / land use based on the drainage basin map / Google Earth</t>
  </si>
  <si>
    <t>b -  Assumed by Smith Engineering Company</t>
  </si>
  <si>
    <r>
      <t xml:space="preserve">a </t>
    </r>
    <r>
      <rPr>
        <sz val="14"/>
        <color theme="1"/>
        <rFont val="Arial"/>
        <family val="2"/>
      </rPr>
      <t xml:space="preserve">- </t>
    </r>
    <r>
      <rPr>
        <sz val="11"/>
        <color theme="1"/>
        <rFont val="Arial"/>
        <family val="2"/>
      </rPr>
      <t xml:space="preserve">Much of the data in this table are from -  Huitt-Zollars, Inc., (HZ) September 25, 2015, “Final Drainage Study Tijeras Arroyo Hydrologic Study” prepared for AMAFCA with the following exceptions:  </t>
    </r>
  </si>
  <si>
    <r>
      <t>c - These values computed by Smith Engineering Company, r</t>
    </r>
    <r>
      <rPr>
        <sz val="11"/>
        <rFont val="Arial"/>
        <family val="2"/>
      </rPr>
      <t xml:space="preserve">efer to Table 2-1 </t>
    </r>
    <r>
      <rPr>
        <sz val="11"/>
        <color theme="1"/>
        <rFont val="Arial"/>
        <family val="2"/>
      </rPr>
      <t>for development assumptions and computations of total watershed development and % imperviousness values.</t>
    </r>
  </si>
  <si>
    <t>Coyote Spring Rd. Three Gun Springs / Monticello</t>
  </si>
  <si>
    <r>
      <t xml:space="preserve">d - Sediment Bulking Equation </t>
    </r>
    <r>
      <rPr>
        <b/>
        <sz val="11"/>
        <color theme="1"/>
        <rFont val="Arial"/>
        <family val="2"/>
      </rPr>
      <t>West</t>
    </r>
    <r>
      <rPr>
        <sz val="11"/>
        <color theme="1"/>
        <rFont val="Arial"/>
        <family val="2"/>
      </rPr>
      <t xml:space="preserve"> of Four Hills Road    (Subbasins 13 - 20 )</t>
    </r>
  </si>
  <si>
    <r>
      <t xml:space="preserve">d - Sediment Bulking Equation </t>
    </r>
    <r>
      <rPr>
        <b/>
        <sz val="11"/>
        <color theme="1"/>
        <rFont val="Arial"/>
        <family val="2"/>
      </rPr>
      <t>East</t>
    </r>
    <r>
      <rPr>
        <sz val="11"/>
        <color theme="1"/>
        <rFont val="Arial"/>
        <family val="2"/>
      </rPr>
      <t xml:space="preserve"> of Four Hills Road    (Subbasins 1 - 12 )</t>
    </r>
  </si>
  <si>
    <t>The % imperviousness values for Subbasins 1-10 are HZ values.  For Subbasins 1 - 10 assume the % imperviousness values represent the % development values.  For Subbasins 11 through 20, see Table 2-1 for data and computations for existing and future conditions % imperviousness and % of subbasin total development estimated by Smith Engineering Company.   All existing and future conditions % development values estimated by Smith Engineering Company.</t>
  </si>
  <si>
    <r>
      <t xml:space="preserve">     Sediment Bulking Factor %  =  0.0004 ( % imperviousness) </t>
    </r>
    <r>
      <rPr>
        <vertAlign val="superscript"/>
        <sz val="11"/>
        <color theme="1"/>
        <rFont val="Arial"/>
        <family val="2"/>
      </rPr>
      <t>2</t>
    </r>
    <r>
      <rPr>
        <sz val="11"/>
        <color theme="1"/>
        <rFont val="Arial"/>
        <family val="2"/>
      </rPr>
      <t xml:space="preserve">  -  0.14 ( % imperviousness)  +  17       (See Figure 2-5)</t>
    </r>
  </si>
  <si>
    <r>
      <t xml:space="preserve">     Sediment Bulking Factor %  =  0.0002 ( % imperviousness) </t>
    </r>
    <r>
      <rPr>
        <vertAlign val="superscript"/>
        <sz val="11"/>
        <color theme="1"/>
        <rFont val="Arial"/>
        <family val="2"/>
      </rPr>
      <t>2</t>
    </r>
    <r>
      <rPr>
        <sz val="11"/>
        <color theme="1"/>
        <rFont val="Arial"/>
        <family val="2"/>
      </rPr>
      <t xml:space="preserve">  -  0.05 ( % imperviousness)  +  10       (See Figure 2-6)</t>
    </r>
  </si>
  <si>
    <t>a  - City of Albuquerque Development Process Manual Chapter 22, August 2000, Table A-5,       a  *  values were assumed by Smith Engineering Company</t>
  </si>
  <si>
    <t>g  - Huitt-Zollars values were adopted for Subbasins 1-10 and are not presented here, see Table 2-3 for all subbasins.</t>
  </si>
  <si>
    <t>a - City of Albuquerque Development Process Manual Chapter 22, August 2000 , Table A-5</t>
  </si>
  <si>
    <t xml:space="preserve">d  - Located in Subbasin 14.  Based on "JuanTabo Hills Estates Onsite Drainage Analysis Report (Volume 1 of 3)  Mark Goodwin &amp; Associates, PA, February 10, 2016. </t>
  </si>
  <si>
    <t>e  - Located in Subbasin 11.   Information found in the report titled "Drainage Report for West Tijeras Canyon Estates, Phase One and Phase Two", Mark Burak, PE, January 2002.  Phases One and Two are residential lots of just over 1 acre, total acreage = 98.21 acres.  Also,  Grading Plans titled "West Tijeras Canyon Estates, Phase Three and Office Site", Mark Burak PE, Sept. 26, 2002.   A drainage report was not available for Phase Three.  Phase Three is proposed as 28 acres of office space and 20 acres of resdiential lots, each a little greater than 1 acre.</t>
  </si>
  <si>
    <t>TABLE 2-2</t>
  </si>
  <si>
    <t xml:space="preserve">TABLE  2-3   </t>
  </si>
  <si>
    <t>TABLE 2-4</t>
  </si>
  <si>
    <t>d -  See Table 2-2 for additional proposed developments information,  for existing Subbasin 11, assume Huitt-Zollars 17 % imperviousness value, assuming that also represents rock outcrop in the mountain subbasins, and same for Subbasin 16, assume Huitt-Zollars value of 25% for mountains.</t>
  </si>
  <si>
    <t>IMPERVIOUSNESS BASE VALUE</t>
  </si>
  <si>
    <t>ASSUMPTIONS</t>
  </si>
  <si>
    <t>a  - City of Albuquerque Development Process Manual Chapter 22, August 2000, Table A-5,                                            a  *  values were assumed by Smith Engineering Company</t>
  </si>
  <si>
    <t>Development Type/Land Use</t>
  </si>
  <si>
    <t>for HEC-HMS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</si>
</sst>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23" x14ac:knownFonts="1">
    <font>
      <sz val="11"/>
      <color theme="1"/>
      <name val="Calibri"/>
      <family val="2"/>
      <scheme val="minor"/>
    </font>
    <font>
      <sz val="11"/>
      <color theme="1"/>
      <name val="Arial Narrow"/>
      <family val="2"/>
    </font>
    <font>
      <b/>
      <sz val="11"/>
      <color theme="1"/>
      <name val="Arial Narrow"/>
      <family val="2"/>
    </font>
    <font>
      <sz val="11"/>
      <color theme="1"/>
      <name val="Arial"/>
      <family val="2"/>
    </font>
    <font>
      <sz val="12"/>
      <color theme="1"/>
      <name val="Arial"/>
      <family val="2"/>
    </font>
    <font>
      <vertAlign val="superscript"/>
      <sz val="12"/>
      <color theme="1"/>
      <name val="Arial"/>
      <family val="2"/>
    </font>
    <font>
      <sz val="10"/>
      <color theme="1"/>
      <name val="Arial Narrow"/>
      <family val="2"/>
    </font>
    <font>
      <b/>
      <sz val="14"/>
      <color theme="1"/>
      <name val="Arial"/>
      <family val="2"/>
    </font>
    <font>
      <b/>
      <sz val="16"/>
      <color theme="1"/>
      <name val="Arial"/>
      <family val="2"/>
    </font>
    <font>
      <b/>
      <sz val="12"/>
      <color theme="1"/>
      <name val="Arial"/>
      <family val="2"/>
    </font>
    <font>
      <b/>
      <sz val="10"/>
      <color theme="1"/>
      <name val="Arial Narrow"/>
      <family val="2"/>
    </font>
    <font>
      <sz val="10"/>
      <color theme="1"/>
      <name val="Calibri"/>
      <family val="2"/>
      <scheme val="minor"/>
    </font>
    <font>
      <b/>
      <sz val="12"/>
      <color theme="1"/>
      <name val="Arial Narrow"/>
      <family val="2"/>
    </font>
    <font>
      <sz val="12"/>
      <color theme="1"/>
      <name val="Arial Narrow"/>
      <family val="2"/>
    </font>
    <font>
      <sz val="10"/>
      <color rgb="FFFF0000"/>
      <name val="Arial Narrow"/>
      <family val="2"/>
    </font>
    <font>
      <b/>
      <sz val="11"/>
      <color rgb="FFFF0000"/>
      <name val="Arial Narrow"/>
      <family val="2"/>
    </font>
    <font>
      <b/>
      <sz val="9"/>
      <color theme="1"/>
      <name val="Arial Narrow"/>
      <family val="2"/>
    </font>
    <font>
      <sz val="10"/>
      <name val="Arial Narrow"/>
      <family val="2"/>
    </font>
    <font>
      <sz val="14"/>
      <color theme="1"/>
      <name val="Arial"/>
      <family val="2"/>
    </font>
    <font>
      <sz val="11"/>
      <name val="Arial"/>
      <family val="2"/>
    </font>
    <font>
      <b/>
      <sz val="11"/>
      <color theme="1"/>
      <name val="Arial"/>
      <family val="2"/>
    </font>
    <font>
      <vertAlign val="superscript"/>
      <sz val="11"/>
      <color theme="1"/>
      <name val="Arial"/>
      <family val="2"/>
    </font>
    <font>
      <sz val="11"/>
      <color rgb="FF0070C0"/>
      <name val="Arial Narrow"/>
      <family val="2"/>
    </font>
  </fonts>
  <fills count="11">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39997558519241921"/>
        <bgColor indexed="64"/>
      </patternFill>
    </fill>
    <fill>
      <patternFill patternType="solid">
        <fgColor theme="7" tint="0.79998168889431442"/>
        <bgColor indexed="64"/>
      </patternFill>
    </fill>
  </fills>
  <borders count="1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57">
    <xf numFmtId="0" fontId="0" fillId="0" borderId="0" xfId="0"/>
    <xf numFmtId="0" fontId="1" fillId="0" borderId="0" xfId="0" applyFont="1"/>
    <xf numFmtId="0" fontId="1" fillId="0" borderId="0" xfId="0" applyFont="1" applyAlignment="1">
      <alignment horizontal="center" vertical="top" wrapText="1"/>
    </xf>
    <xf numFmtId="0" fontId="1" fillId="0" borderId="0" xfId="0" applyFont="1" applyAlignment="1">
      <alignment horizontal="center" vertical="center"/>
    </xf>
    <xf numFmtId="1" fontId="1" fillId="0" borderId="0" xfId="0" applyNumberFormat="1" applyFont="1"/>
    <xf numFmtId="1" fontId="1" fillId="0" borderId="0" xfId="0" applyNumberFormat="1" applyFont="1" applyAlignment="1">
      <alignment horizontal="center" vertical="top" wrapText="1"/>
    </xf>
    <xf numFmtId="3" fontId="1" fillId="0" borderId="0" xfId="0" applyNumberFormat="1" applyFont="1"/>
    <xf numFmtId="3" fontId="1" fillId="0" borderId="0" xfId="0" applyNumberFormat="1" applyFont="1" applyAlignment="1">
      <alignment horizontal="center" vertical="top" wrapText="1"/>
    </xf>
    <xf numFmtId="1" fontId="1" fillId="0" borderId="0" xfId="0" applyNumberFormat="1" applyFont="1" applyAlignment="1">
      <alignment horizontal="center"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2" borderId="0" xfId="0" applyFont="1" applyFill="1" applyAlignment="1">
      <alignment horizontal="center" vertical="top" wrapText="1"/>
    </xf>
    <xf numFmtId="0" fontId="1" fillId="4" borderId="0" xfId="0" applyFont="1" applyFill="1" applyAlignment="1">
      <alignment horizontal="center" vertical="top" wrapText="1"/>
    </xf>
    <xf numFmtId="0" fontId="1" fillId="4" borderId="0" xfId="0" applyFont="1" applyFill="1" applyAlignment="1">
      <alignment horizontal="center" vertical="center"/>
    </xf>
    <xf numFmtId="0" fontId="1" fillId="0" borderId="1" xfId="0" applyFont="1" applyBorder="1"/>
    <xf numFmtId="1" fontId="1" fillId="4" borderId="0" xfId="0" applyNumberFormat="1" applyFont="1" applyFill="1" applyAlignment="1">
      <alignment horizontal="center" vertical="top" wrapText="1"/>
    </xf>
    <xf numFmtId="1" fontId="1" fillId="2" borderId="0" xfId="0" applyNumberFormat="1" applyFont="1" applyFill="1" applyAlignment="1">
      <alignment horizontal="center" vertical="top" wrapText="1"/>
    </xf>
    <xf numFmtId="1" fontId="1" fillId="4" borderId="0" xfId="0" applyNumberFormat="1" applyFont="1" applyFill="1" applyAlignment="1">
      <alignment horizontal="center" vertical="center"/>
    </xf>
    <xf numFmtId="1" fontId="1" fillId="2" borderId="0" xfId="0" applyNumberFormat="1" applyFont="1" applyFill="1" applyAlignment="1">
      <alignment horizontal="center"/>
    </xf>
    <xf numFmtId="3" fontId="1" fillId="0" borderId="1" xfId="0" applyNumberFormat="1" applyFont="1" applyBorder="1" applyAlignment="1">
      <alignment horizontal="center"/>
    </xf>
    <xf numFmtId="0" fontId="1" fillId="0" borderId="1" xfId="0" applyFont="1" applyBorder="1" applyAlignment="1">
      <alignment horizontal="center"/>
    </xf>
    <xf numFmtId="1" fontId="1" fillId="0" borderId="1" xfId="0" applyNumberFormat="1" applyFont="1" applyBorder="1" applyAlignment="1">
      <alignment horizontal="center"/>
    </xf>
    <xf numFmtId="0" fontId="1" fillId="4" borderId="1" xfId="0" applyFont="1" applyFill="1" applyBorder="1" applyAlignment="1">
      <alignment horizontal="center"/>
    </xf>
    <xf numFmtId="0" fontId="1" fillId="2" borderId="1" xfId="0" applyFont="1" applyFill="1" applyBorder="1" applyAlignment="1">
      <alignment horizontal="center"/>
    </xf>
    <xf numFmtId="1" fontId="1" fillId="4" borderId="1" xfId="0" applyNumberFormat="1" applyFont="1" applyFill="1" applyBorder="1" applyAlignment="1">
      <alignment horizontal="center"/>
    </xf>
    <xf numFmtId="1" fontId="1" fillId="2" borderId="1" xfId="0" applyNumberFormat="1" applyFont="1" applyFill="1" applyBorder="1" applyAlignment="1">
      <alignment horizontal="center"/>
    </xf>
    <xf numFmtId="0" fontId="2" fillId="5" borderId="0" xfId="0" applyFont="1" applyFill="1" applyAlignment="1">
      <alignment horizontal="centerContinuous" vertical="center"/>
    </xf>
    <xf numFmtId="3" fontId="2" fillId="5" borderId="0" xfId="0" applyNumberFormat="1" applyFont="1" applyFill="1" applyAlignment="1">
      <alignment horizontal="centerContinuous" vertical="center"/>
    </xf>
    <xf numFmtId="1" fontId="2" fillId="5" borderId="0" xfId="0" applyNumberFormat="1" applyFont="1" applyFill="1" applyAlignment="1">
      <alignment horizontal="centerContinuous" vertical="center"/>
    </xf>
    <xf numFmtId="0" fontId="2" fillId="5" borderId="1" xfId="0" applyFont="1" applyFill="1" applyBorder="1" applyAlignment="1">
      <alignment horizontal="centerContinuous" vertical="center"/>
    </xf>
    <xf numFmtId="3" fontId="2" fillId="5" borderId="1" xfId="0" applyNumberFormat="1" applyFont="1" applyFill="1" applyBorder="1" applyAlignment="1">
      <alignment horizontal="centerContinuous" vertical="center"/>
    </xf>
    <xf numFmtId="1" fontId="2" fillId="5" borderId="1" xfId="0" applyNumberFormat="1" applyFont="1" applyFill="1" applyBorder="1" applyAlignment="1">
      <alignment horizontal="centerContinuous" vertical="center"/>
    </xf>
    <xf numFmtId="0" fontId="3" fillId="5" borderId="0" xfId="0" applyFont="1" applyFill="1" applyAlignment="1">
      <alignment vertical="center"/>
    </xf>
    <xf numFmtId="0" fontId="3" fillId="5" borderId="0" xfId="0" applyFont="1" applyFill="1" applyAlignment="1">
      <alignment vertical="center" wrapText="1"/>
    </xf>
    <xf numFmtId="0" fontId="1" fillId="5" borderId="0" xfId="0" applyFont="1" applyFill="1"/>
    <xf numFmtId="0" fontId="6" fillId="5" borderId="2" xfId="0" applyFont="1" applyFill="1" applyBorder="1" applyAlignment="1">
      <alignment horizontal="center" vertical="top" wrapText="1"/>
    </xf>
    <xf numFmtId="1" fontId="1" fillId="5" borderId="0" xfId="0" applyNumberFormat="1" applyFont="1" applyFill="1"/>
    <xf numFmtId="0" fontId="6" fillId="5" borderId="1" xfId="0" applyFont="1" applyFill="1" applyBorder="1"/>
    <xf numFmtId="0" fontId="6" fillId="5" borderId="1" xfId="0" applyFont="1" applyFill="1" applyBorder="1" applyAlignment="1">
      <alignment horizontal="center" vertical="center"/>
    </xf>
    <xf numFmtId="0" fontId="6" fillId="5" borderId="0" xfId="0" applyFont="1" applyFill="1" applyAlignment="1">
      <alignment horizontal="center" vertical="center"/>
    </xf>
    <xf numFmtId="0" fontId="1" fillId="0" borderId="3" xfId="0" applyFont="1" applyBorder="1"/>
    <xf numFmtId="3" fontId="2" fillId="0" borderId="3" xfId="0" applyNumberFormat="1" applyFont="1" applyBorder="1"/>
    <xf numFmtId="1" fontId="1" fillId="0" borderId="3" xfId="0" applyNumberFormat="1" applyFont="1" applyBorder="1"/>
    <xf numFmtId="0" fontId="2" fillId="6" borderId="0" xfId="0" applyFont="1" applyFill="1" applyAlignment="1">
      <alignment horizontal="center" vertical="center"/>
    </xf>
    <xf numFmtId="0" fontId="1" fillId="6" borderId="0" xfId="0" applyFont="1" applyFill="1" applyAlignment="1">
      <alignment horizontal="center" vertical="center"/>
    </xf>
    <xf numFmtId="3" fontId="1" fillId="6" borderId="0" xfId="0" applyNumberFormat="1" applyFont="1" applyFill="1"/>
    <xf numFmtId="1" fontId="1" fillId="6" borderId="0" xfId="0" applyNumberFormat="1" applyFont="1" applyFill="1" applyAlignment="1">
      <alignment horizontal="center" vertical="center"/>
    </xf>
    <xf numFmtId="0" fontId="8" fillId="6" borderId="1" xfId="0" applyFont="1" applyFill="1" applyBorder="1" applyAlignment="1">
      <alignment horizontal="center"/>
    </xf>
    <xf numFmtId="0" fontId="2" fillId="6" borderId="0" xfId="0" applyFont="1" applyFill="1" applyAlignment="1">
      <alignment horizontal="centerContinuous" vertical="center"/>
    </xf>
    <xf numFmtId="1" fontId="2" fillId="6" borderId="0" xfId="0" applyNumberFormat="1" applyFont="1" applyFill="1" applyAlignment="1">
      <alignment horizontal="centerContinuous" vertical="center"/>
    </xf>
    <xf numFmtId="0" fontId="6" fillId="5" borderId="0" xfId="0" applyFont="1" applyFill="1" applyAlignment="1">
      <alignment horizontal="left"/>
    </xf>
    <xf numFmtId="0" fontId="6" fillId="5" borderId="1" xfId="0" applyFont="1" applyFill="1" applyBorder="1" applyAlignment="1">
      <alignment horizontal="left"/>
    </xf>
    <xf numFmtId="0" fontId="4" fillId="5" borderId="0" xfId="0" applyFont="1" applyFill="1" applyAlignment="1">
      <alignment vertical="center"/>
    </xf>
    <xf numFmtId="0" fontId="6" fillId="5" borderId="2" xfId="0" applyFont="1" applyFill="1" applyBorder="1" applyAlignment="1">
      <alignment horizontal="left" vertical="top" wrapText="1"/>
    </xf>
    <xf numFmtId="0" fontId="1" fillId="6" borderId="1" xfId="0" applyFont="1" applyFill="1" applyBorder="1" applyAlignment="1">
      <alignment horizontal="center" vertical="center"/>
    </xf>
    <xf numFmtId="3" fontId="1" fillId="6" borderId="1" xfId="0" applyNumberFormat="1" applyFont="1" applyFill="1" applyBorder="1"/>
    <xf numFmtId="1" fontId="1" fillId="6" borderId="1" xfId="0" applyNumberFormat="1" applyFont="1" applyFill="1" applyBorder="1" applyAlignment="1">
      <alignment horizontal="center" vertical="center"/>
    </xf>
    <xf numFmtId="0" fontId="1" fillId="0" borderId="0" xfId="0" applyFont="1" applyBorder="1" applyAlignment="1">
      <alignment horizontal="center" vertical="center"/>
    </xf>
    <xf numFmtId="3" fontId="1" fillId="0" borderId="0" xfId="0" applyNumberFormat="1" applyFont="1" applyBorder="1"/>
    <xf numFmtId="1" fontId="1" fillId="0" borderId="0" xfId="0" applyNumberFormat="1" applyFont="1" applyBorder="1" applyAlignment="1">
      <alignment horizontal="center" vertical="center"/>
    </xf>
    <xf numFmtId="0" fontId="1" fillId="4" borderId="0" xfId="0" applyFont="1" applyFill="1" applyBorder="1" applyAlignment="1">
      <alignment horizontal="center" vertical="center"/>
    </xf>
    <xf numFmtId="0" fontId="1" fillId="2" borderId="0" xfId="0" applyFont="1" applyFill="1" applyBorder="1" applyAlignment="1">
      <alignment horizontal="center" vertical="center"/>
    </xf>
    <xf numFmtId="1" fontId="1" fillId="4" borderId="0" xfId="0" applyNumberFormat="1" applyFont="1" applyFill="1" applyBorder="1" applyAlignment="1">
      <alignment horizontal="center" vertical="center"/>
    </xf>
    <xf numFmtId="0" fontId="2" fillId="6" borderId="1" xfId="0" applyFont="1" applyFill="1" applyBorder="1" applyAlignment="1">
      <alignment horizontal="center" vertical="center"/>
    </xf>
    <xf numFmtId="0" fontId="2" fillId="0" borderId="3" xfId="0" applyFont="1" applyBorder="1" applyAlignment="1">
      <alignment horizontal="center"/>
    </xf>
    <xf numFmtId="0" fontId="6" fillId="0" borderId="0" xfId="0" applyFont="1"/>
    <xf numFmtId="0" fontId="2" fillId="0" borderId="0" xfId="0" applyFont="1"/>
    <xf numFmtId="0" fontId="10" fillId="5" borderId="0" xfId="0" applyFont="1" applyFill="1" applyAlignment="1">
      <alignment horizontal="centerContinuous" vertical="center"/>
    </xf>
    <xf numFmtId="0" fontId="6" fillId="5" borderId="0" xfId="0" applyFont="1" applyFill="1" applyAlignment="1">
      <alignment horizontal="centerContinuous" vertical="center"/>
    </xf>
    <xf numFmtId="1" fontId="6" fillId="5" borderId="0" xfId="0" applyNumberFormat="1" applyFont="1" applyFill="1" applyAlignment="1">
      <alignment horizontal="centerContinuous" vertical="center"/>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1" fontId="6" fillId="0" borderId="5" xfId="0" applyNumberFormat="1" applyFont="1" applyBorder="1" applyAlignment="1">
      <alignment horizontal="center" vertical="top" wrapText="1"/>
    </xf>
    <xf numFmtId="0" fontId="6" fillId="0" borderId="1" xfId="0" applyFont="1" applyBorder="1"/>
    <xf numFmtId="0" fontId="6" fillId="0" borderId="1" xfId="0" applyFont="1" applyBorder="1" applyAlignment="1">
      <alignment horizontal="center"/>
    </xf>
    <xf numFmtId="0" fontId="6" fillId="0" borderId="8" xfId="0" applyFont="1" applyBorder="1" applyAlignment="1">
      <alignment horizontal="center"/>
    </xf>
    <xf numFmtId="0" fontId="6" fillId="0" borderId="0" xfId="0" applyFont="1" applyAlignment="1">
      <alignment horizontal="center"/>
    </xf>
    <xf numFmtId="0" fontId="6" fillId="0" borderId="6" xfId="0" applyFont="1" applyBorder="1" applyAlignment="1">
      <alignment horizontal="center"/>
    </xf>
    <xf numFmtId="1" fontId="6" fillId="0" borderId="7" xfId="0" quotePrefix="1" applyNumberFormat="1" applyFont="1" applyBorder="1" applyAlignment="1">
      <alignment horizontal="center"/>
    </xf>
    <xf numFmtId="0" fontId="6" fillId="0" borderId="9" xfId="0" applyFont="1" applyBorder="1" applyAlignment="1">
      <alignment horizontal="center"/>
    </xf>
    <xf numFmtId="1" fontId="6" fillId="0" borderId="9" xfId="0" quotePrefix="1" applyNumberFormat="1" applyFont="1" applyBorder="1" applyAlignment="1">
      <alignment horizontal="center"/>
    </xf>
    <xf numFmtId="0" fontId="6" fillId="0" borderId="0" xfId="0" applyFont="1" applyBorder="1"/>
    <xf numFmtId="0" fontId="6" fillId="0" borderId="0" xfId="0" applyFont="1" applyBorder="1" applyAlignment="1">
      <alignment horizontal="center"/>
    </xf>
    <xf numFmtId="0" fontId="6" fillId="0" borderId="4" xfId="0" applyFont="1" applyBorder="1" applyAlignment="1">
      <alignment horizontal="center"/>
    </xf>
    <xf numFmtId="1" fontId="6" fillId="0" borderId="5" xfId="0" quotePrefix="1" applyNumberFormat="1" applyFont="1" applyBorder="1" applyAlignment="1">
      <alignment horizontal="center"/>
    </xf>
    <xf numFmtId="0" fontId="10" fillId="0" borderId="0" xfId="0" applyFont="1" applyBorder="1" applyAlignment="1">
      <alignment horizontal="center"/>
    </xf>
    <xf numFmtId="1" fontId="6" fillId="0" borderId="0" xfId="0" applyNumberFormat="1" applyFont="1"/>
    <xf numFmtId="0" fontId="6" fillId="0" borderId="0" xfId="0" applyFont="1" applyBorder="1" applyAlignment="1">
      <alignment horizontal="center" vertical="top" wrapText="1"/>
    </xf>
    <xf numFmtId="1" fontId="6" fillId="0" borderId="2" xfId="0" applyNumberFormat="1" applyFont="1" applyBorder="1" applyAlignment="1">
      <alignment horizontal="center" vertical="top" wrapText="1"/>
    </xf>
    <xf numFmtId="1" fontId="6" fillId="0" borderId="0" xfId="0" applyNumberFormat="1" applyFont="1" applyBorder="1" applyAlignment="1">
      <alignment horizontal="center" vertical="top" wrapText="1"/>
    </xf>
    <xf numFmtId="1" fontId="6" fillId="0" borderId="1" xfId="0" applyNumberFormat="1" applyFont="1" applyBorder="1" applyAlignment="1">
      <alignment horizontal="center"/>
    </xf>
    <xf numFmtId="1" fontId="6" fillId="0" borderId="0" xfId="0" quotePrefix="1" applyNumberFormat="1" applyFont="1" applyBorder="1" applyAlignment="1">
      <alignment horizontal="center"/>
    </xf>
    <xf numFmtId="1" fontId="6" fillId="0" borderId="1" xfId="0" quotePrefix="1" applyNumberFormat="1" applyFont="1" applyBorder="1" applyAlignment="1">
      <alignment horizontal="center"/>
    </xf>
    <xf numFmtId="1" fontId="10" fillId="0" borderId="1" xfId="0" applyNumberFormat="1" applyFont="1" applyBorder="1" applyAlignment="1">
      <alignment horizontal="center"/>
    </xf>
    <xf numFmtId="3" fontId="6" fillId="0" borderId="0" xfId="0" applyNumberFormat="1" applyFont="1" applyBorder="1" applyAlignment="1">
      <alignment horizontal="center"/>
    </xf>
    <xf numFmtId="0" fontId="10" fillId="3" borderId="0" xfId="0" applyFont="1" applyFill="1" applyBorder="1" applyAlignment="1">
      <alignment horizontal="center"/>
    </xf>
    <xf numFmtId="0" fontId="6" fillId="3" borderId="0" xfId="0" applyFont="1" applyFill="1" applyBorder="1" applyAlignment="1">
      <alignment horizontal="center"/>
    </xf>
    <xf numFmtId="164" fontId="2" fillId="5" borderId="0" xfId="0" applyNumberFormat="1" applyFont="1" applyFill="1" applyAlignment="1">
      <alignment horizontal="centerContinuous" vertical="center"/>
    </xf>
    <xf numFmtId="164" fontId="2" fillId="5" borderId="1" xfId="0" applyNumberFormat="1" applyFont="1" applyFill="1" applyBorder="1" applyAlignment="1">
      <alignment horizontal="centerContinuous" vertical="center"/>
    </xf>
    <xf numFmtId="164" fontId="1" fillId="0" borderId="0" xfId="0" applyNumberFormat="1" applyFont="1" applyAlignment="1">
      <alignment horizontal="center" vertical="top" wrapText="1"/>
    </xf>
    <xf numFmtId="164" fontId="1" fillId="0" borderId="1" xfId="0" applyNumberFormat="1" applyFont="1" applyBorder="1" applyAlignment="1">
      <alignment horizontal="center"/>
    </xf>
    <xf numFmtId="164" fontId="1" fillId="0" borderId="0" xfId="0" applyNumberFormat="1" applyFont="1" applyAlignment="1">
      <alignment horizontal="center" vertical="center"/>
    </xf>
    <xf numFmtId="164" fontId="1" fillId="6" borderId="0" xfId="0" applyNumberFormat="1" applyFont="1" applyFill="1" applyAlignment="1">
      <alignment horizontal="center" vertical="center"/>
    </xf>
    <xf numFmtId="164" fontId="1" fillId="0" borderId="0" xfId="0" applyNumberFormat="1" applyFont="1" applyBorder="1" applyAlignment="1">
      <alignment horizontal="center" vertical="center"/>
    </xf>
    <xf numFmtId="164" fontId="1" fillId="6" borderId="1" xfId="0" applyNumberFormat="1" applyFont="1" applyFill="1" applyBorder="1" applyAlignment="1">
      <alignment horizontal="center" vertical="center"/>
    </xf>
    <xf numFmtId="164" fontId="2" fillId="0" borderId="3" xfId="0" applyNumberFormat="1" applyFont="1" applyBorder="1" applyAlignment="1">
      <alignment horizontal="center" vertical="center"/>
    </xf>
    <xf numFmtId="164" fontId="3" fillId="5" borderId="0" xfId="0" applyNumberFormat="1" applyFont="1" applyFill="1" applyAlignment="1">
      <alignment vertical="center" wrapText="1"/>
    </xf>
    <xf numFmtId="164" fontId="4" fillId="5" borderId="0" xfId="0" applyNumberFormat="1" applyFont="1" applyFill="1" applyAlignment="1">
      <alignment vertical="center"/>
    </xf>
    <xf numFmtId="164" fontId="6" fillId="5" borderId="2" xfId="0" applyNumberFormat="1" applyFont="1" applyFill="1" applyBorder="1" applyAlignment="1">
      <alignment horizontal="center" vertical="top" wrapText="1"/>
    </xf>
    <xf numFmtId="164" fontId="6" fillId="5" borderId="1" xfId="0" applyNumberFormat="1" applyFont="1" applyFill="1" applyBorder="1" applyAlignment="1">
      <alignment horizontal="center" vertical="center"/>
    </xf>
    <xf numFmtId="164" fontId="6" fillId="5" borderId="0" xfId="0" applyNumberFormat="1" applyFont="1" applyFill="1" applyAlignment="1">
      <alignment horizontal="center" vertical="center"/>
    </xf>
    <xf numFmtId="164" fontId="1" fillId="0" borderId="0" xfId="0" applyNumberFormat="1" applyFont="1"/>
    <xf numFmtId="164" fontId="6" fillId="0" borderId="2" xfId="0" applyNumberFormat="1" applyFont="1" applyBorder="1" applyAlignment="1">
      <alignment horizontal="center" vertical="top" wrapText="1"/>
    </xf>
    <xf numFmtId="164" fontId="6" fillId="0" borderId="0" xfId="0" applyNumberFormat="1" applyFont="1" applyBorder="1" applyAlignment="1">
      <alignment horizontal="center" vertical="top" wrapText="1"/>
    </xf>
    <xf numFmtId="164" fontId="6" fillId="0" borderId="1" xfId="0" applyNumberFormat="1" applyFont="1" applyBorder="1" applyAlignment="1">
      <alignment horizontal="center"/>
    </xf>
    <xf numFmtId="164" fontId="6" fillId="0" borderId="0" xfId="0" applyNumberFormat="1" applyFont="1" applyAlignment="1">
      <alignment horizontal="center"/>
    </xf>
    <xf numFmtId="164" fontId="6" fillId="0" borderId="0" xfId="0" applyNumberFormat="1" applyFont="1"/>
    <xf numFmtId="164" fontId="10" fillId="0" borderId="0" xfId="0" applyNumberFormat="1" applyFont="1" applyBorder="1" applyAlignment="1">
      <alignment horizontal="center"/>
    </xf>
    <xf numFmtId="1" fontId="6" fillId="0" borderId="0" xfId="0" applyNumberFormat="1" applyFont="1" applyBorder="1" applyAlignment="1">
      <alignment horizontal="center"/>
    </xf>
    <xf numFmtId="1" fontId="10" fillId="0" borderId="0" xfId="0" applyNumberFormat="1" applyFont="1" applyBorder="1" applyAlignment="1">
      <alignment horizontal="center"/>
    </xf>
    <xf numFmtId="1" fontId="6" fillId="0" borderId="0" xfId="0" applyNumberFormat="1" applyFont="1" applyBorder="1"/>
    <xf numFmtId="1" fontId="10" fillId="0" borderId="2" xfId="0" applyNumberFormat="1" applyFont="1" applyBorder="1" applyAlignment="1">
      <alignment horizontal="center" vertical="top" wrapText="1"/>
    </xf>
    <xf numFmtId="1" fontId="10" fillId="3" borderId="0" xfId="0" applyNumberFormat="1" applyFont="1" applyFill="1" applyBorder="1" applyAlignment="1">
      <alignment horizontal="center"/>
    </xf>
    <xf numFmtId="1" fontId="10" fillId="0" borderId="0" xfId="0" applyNumberFormat="1" applyFont="1" applyBorder="1" applyAlignment="1">
      <alignment horizontal="center" vertical="top" wrapText="1"/>
    </xf>
    <xf numFmtId="1" fontId="10" fillId="0" borderId="0" xfId="0" applyNumberFormat="1" applyFont="1" applyAlignment="1">
      <alignment horizontal="center"/>
    </xf>
    <xf numFmtId="0" fontId="6" fillId="3" borderId="2" xfId="0" applyFont="1" applyFill="1" applyBorder="1" applyAlignment="1">
      <alignment horizontal="center" vertical="top" wrapText="1"/>
    </xf>
    <xf numFmtId="0" fontId="6" fillId="3" borderId="0" xfId="0" applyFont="1" applyFill="1" applyBorder="1" applyAlignment="1">
      <alignment horizontal="center" vertical="top" wrapText="1"/>
    </xf>
    <xf numFmtId="0" fontId="6" fillId="3" borderId="1" xfId="0" applyFont="1" applyFill="1" applyBorder="1" applyAlignment="1">
      <alignment horizontal="center"/>
    </xf>
    <xf numFmtId="164" fontId="6" fillId="0" borderId="0" xfId="0" applyNumberFormat="1" applyFont="1" applyBorder="1" applyAlignment="1">
      <alignment horizontal="center"/>
    </xf>
    <xf numFmtId="0" fontId="10" fillId="0" borderId="0" xfId="0" applyFont="1" applyBorder="1"/>
    <xf numFmtId="0" fontId="6" fillId="5" borderId="0" xfId="0" applyFont="1" applyFill="1"/>
    <xf numFmtId="0" fontId="12" fillId="5" borderId="0" xfId="0" applyFont="1" applyFill="1" applyAlignment="1">
      <alignment horizontal="centerContinuous" vertical="center"/>
    </xf>
    <xf numFmtId="0" fontId="13" fillId="5" borderId="0" xfId="0" applyFont="1" applyFill="1" applyAlignment="1">
      <alignment horizontal="centerContinuous" vertical="center"/>
    </xf>
    <xf numFmtId="164" fontId="13" fillId="5" borderId="0" xfId="0" applyNumberFormat="1" applyFont="1" applyFill="1" applyAlignment="1">
      <alignment horizontal="centerContinuous" vertical="center"/>
    </xf>
    <xf numFmtId="1" fontId="13" fillId="5" borderId="0" xfId="0" applyNumberFormat="1" applyFont="1" applyFill="1" applyAlignment="1">
      <alignment horizontal="centerContinuous" vertical="center"/>
    </xf>
    <xf numFmtId="164" fontId="6" fillId="3" borderId="0" xfId="0" applyNumberFormat="1" applyFont="1" applyFill="1" applyBorder="1" applyAlignment="1">
      <alignment horizontal="center"/>
    </xf>
    <xf numFmtId="164" fontId="6" fillId="0" borderId="0" xfId="0" applyNumberFormat="1" applyFont="1" applyBorder="1" applyAlignment="1">
      <alignment vertical="center" wrapText="1"/>
    </xf>
    <xf numFmtId="0" fontId="6" fillId="0" borderId="0" xfId="0" applyFont="1" applyBorder="1" applyAlignment="1">
      <alignment vertical="center" wrapText="1"/>
    </xf>
    <xf numFmtId="0" fontId="12" fillId="5" borderId="0" xfId="0" applyFont="1" applyFill="1" applyAlignment="1">
      <alignment horizontal="center" vertical="center"/>
    </xf>
    <xf numFmtId="0" fontId="6" fillId="0" borderId="0" xfId="0" applyFont="1" applyBorder="1" applyAlignment="1">
      <alignment horizontal="center" vertical="center"/>
    </xf>
    <xf numFmtId="164" fontId="6" fillId="0" borderId="0" xfId="0" applyNumberFormat="1" applyFont="1" applyBorder="1" applyAlignment="1">
      <alignment horizontal="center" vertical="center" wrapText="1"/>
    </xf>
    <xf numFmtId="164" fontId="6" fillId="0" borderId="0" xfId="0" quotePrefix="1" applyNumberFormat="1" applyFont="1" applyBorder="1" applyAlignment="1">
      <alignment horizontal="center" vertical="top" wrapText="1"/>
    </xf>
    <xf numFmtId="2" fontId="10" fillId="0" borderId="0" xfId="0" applyNumberFormat="1" applyFont="1" applyBorder="1" applyAlignment="1">
      <alignment horizontal="center"/>
    </xf>
    <xf numFmtId="164" fontId="6" fillId="0" borderId="0" xfId="0" applyNumberFormat="1" applyFont="1" applyAlignment="1">
      <alignment horizontal="center" vertical="center" wrapText="1"/>
    </xf>
    <xf numFmtId="0" fontId="6" fillId="0" borderId="0" xfId="0" applyFont="1" applyBorder="1" applyAlignment="1">
      <alignment horizontal="center" vertical="center" wrapText="1"/>
    </xf>
    <xf numFmtId="1" fontId="6" fillId="0" borderId="0" xfId="0" applyNumberFormat="1" applyFont="1" applyBorder="1" applyAlignment="1">
      <alignment horizontal="center" vertical="center" wrapText="1"/>
    </xf>
    <xf numFmtId="3" fontId="6" fillId="0" borderId="0" xfId="0" applyNumberFormat="1" applyFont="1" applyBorder="1" applyAlignment="1">
      <alignment horizontal="center" vertical="center" wrapText="1"/>
    </xf>
    <xf numFmtId="0" fontId="6" fillId="0" borderId="6" xfId="0" applyFont="1" applyBorder="1" applyAlignment="1">
      <alignment horizontal="center" vertical="top" wrapText="1"/>
    </xf>
    <xf numFmtId="164" fontId="6" fillId="0" borderId="6" xfId="0" applyNumberFormat="1" applyFont="1" applyBorder="1" applyAlignment="1">
      <alignment horizontal="center" vertical="center" wrapText="1"/>
    </xf>
    <xf numFmtId="3" fontId="6" fillId="0" borderId="6" xfId="0" applyNumberFormat="1" applyFont="1" applyBorder="1" applyAlignment="1">
      <alignment horizontal="center" vertical="center" wrapText="1"/>
    </xf>
    <xf numFmtId="1" fontId="6" fillId="0" borderId="6"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12" fillId="5" borderId="3" xfId="0" applyFont="1" applyFill="1" applyBorder="1" applyAlignment="1">
      <alignment horizontal="centerContinuous" vertical="center"/>
    </xf>
    <xf numFmtId="0" fontId="12" fillId="5" borderId="3" xfId="0" applyFont="1" applyFill="1" applyBorder="1" applyAlignment="1">
      <alignment horizontal="center" vertical="center"/>
    </xf>
    <xf numFmtId="0" fontId="10" fillId="2" borderId="1" xfId="0" applyFont="1" applyFill="1" applyBorder="1" applyAlignment="1">
      <alignment vertical="center" wrapText="1"/>
    </xf>
    <xf numFmtId="0" fontId="10" fillId="2" borderId="1" xfId="0" applyFont="1" applyFill="1" applyBorder="1" applyAlignment="1">
      <alignment horizontal="center" vertical="center"/>
    </xf>
    <xf numFmtId="164" fontId="10" fillId="2" borderId="1" xfId="0" quotePrefix="1" applyNumberFormat="1" applyFont="1" applyFill="1" applyBorder="1" applyAlignment="1">
      <alignment horizontal="center" vertical="top" wrapText="1"/>
    </xf>
    <xf numFmtId="1" fontId="10" fillId="2" borderId="8"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0" fontId="10" fillId="3" borderId="0" xfId="0" applyFont="1" applyFill="1" applyBorder="1" applyAlignment="1">
      <alignment vertical="center" wrapText="1"/>
    </xf>
    <xf numFmtId="0" fontId="10" fillId="3" borderId="0" xfId="0" applyFont="1" applyFill="1" applyBorder="1" applyAlignment="1">
      <alignment horizontal="center" vertical="center"/>
    </xf>
    <xf numFmtId="164" fontId="10" fillId="3" borderId="0" xfId="0" quotePrefix="1" applyNumberFormat="1" applyFont="1" applyFill="1" applyBorder="1" applyAlignment="1">
      <alignment horizontal="center" vertical="top" wrapText="1"/>
    </xf>
    <xf numFmtId="3" fontId="10" fillId="3" borderId="0" xfId="0" applyNumberFormat="1" applyFont="1" applyFill="1" applyBorder="1" applyAlignment="1">
      <alignment horizontal="center" vertical="center" wrapText="1"/>
    </xf>
    <xf numFmtId="0" fontId="6" fillId="5" borderId="0" xfId="0" applyFont="1" applyFill="1" applyAlignment="1">
      <alignment horizontal="center"/>
    </xf>
    <xf numFmtId="164" fontId="6" fillId="5" borderId="0" xfId="0" applyNumberFormat="1" applyFont="1" applyFill="1"/>
    <xf numFmtId="1" fontId="6" fillId="5" borderId="0" xfId="0" applyNumberFormat="1" applyFont="1" applyFill="1"/>
    <xf numFmtId="0" fontId="6" fillId="0" borderId="7" xfId="0" applyFont="1" applyBorder="1" applyAlignment="1">
      <alignment horizontal="center" vertical="top" wrapText="1"/>
    </xf>
    <xf numFmtId="164" fontId="6" fillId="0" borderId="7" xfId="0" applyNumberFormat="1" applyFont="1" applyBorder="1" applyAlignment="1">
      <alignment horizontal="center" vertical="center" wrapText="1"/>
    </xf>
    <xf numFmtId="3" fontId="6" fillId="0" borderId="7" xfId="0" applyNumberFormat="1" applyFont="1" applyBorder="1" applyAlignment="1">
      <alignment horizontal="center" vertical="center" wrapText="1"/>
    </xf>
    <xf numFmtId="1" fontId="6" fillId="0" borderId="7" xfId="0" applyNumberFormat="1" applyFont="1" applyBorder="1" applyAlignment="1">
      <alignment horizontal="center" vertical="center" wrapText="1"/>
    </xf>
    <xf numFmtId="0" fontId="13" fillId="5" borderId="10" xfId="0" applyFont="1" applyFill="1" applyBorder="1" applyAlignment="1">
      <alignment vertical="center"/>
    </xf>
    <xf numFmtId="0" fontId="13" fillId="5" borderId="3" xfId="0" applyFont="1" applyFill="1" applyBorder="1" applyAlignment="1">
      <alignment vertical="center"/>
    </xf>
    <xf numFmtId="164" fontId="13" fillId="5" borderId="3" xfId="0" applyNumberFormat="1" applyFont="1" applyFill="1" applyBorder="1" applyAlignment="1">
      <alignment vertical="center"/>
    </xf>
    <xf numFmtId="1" fontId="13" fillId="5" borderId="3" xfId="0" applyNumberFormat="1" applyFont="1" applyFill="1" applyBorder="1" applyAlignment="1">
      <alignment vertical="center"/>
    </xf>
    <xf numFmtId="164" fontId="6" fillId="0" borderId="3" xfId="0" applyNumberFormat="1" applyFont="1" applyBorder="1"/>
    <xf numFmtId="0" fontId="6" fillId="7" borderId="2" xfId="0" applyFont="1" applyFill="1" applyBorder="1" applyAlignment="1">
      <alignment horizontal="center" vertical="top" wrapText="1"/>
    </xf>
    <xf numFmtId="0" fontId="6" fillId="7" borderId="0" xfId="0" applyFont="1" applyFill="1" applyBorder="1" applyAlignment="1">
      <alignment horizontal="center" vertical="top" wrapText="1"/>
    </xf>
    <xf numFmtId="0" fontId="6" fillId="7" borderId="1" xfId="0" applyFont="1" applyFill="1" applyBorder="1"/>
    <xf numFmtId="0" fontId="6" fillId="7" borderId="0" xfId="0" applyFont="1" applyFill="1"/>
    <xf numFmtId="0" fontId="6" fillId="7" borderId="0" xfId="0" applyFont="1" applyFill="1" applyBorder="1"/>
    <xf numFmtId="0" fontId="6" fillId="7" borderId="0" xfId="0" applyFont="1" applyFill="1" applyAlignment="1">
      <alignment horizontal="center" vertical="center"/>
    </xf>
    <xf numFmtId="0" fontId="6" fillId="7" borderId="0" xfId="0" applyFont="1" applyFill="1" applyAlignment="1">
      <alignment horizontal="center"/>
    </xf>
    <xf numFmtId="0" fontId="6" fillId="7" borderId="6" xfId="0" applyFont="1" applyFill="1" applyBorder="1" applyAlignment="1">
      <alignment horizontal="center"/>
    </xf>
    <xf numFmtId="0" fontId="6" fillId="7" borderId="0" xfId="0" applyFont="1" applyFill="1" applyBorder="1" applyAlignment="1">
      <alignment horizontal="center"/>
    </xf>
    <xf numFmtId="0" fontId="6" fillId="7" borderId="0" xfId="0" applyFont="1" applyFill="1" applyBorder="1" applyAlignment="1">
      <alignment horizontal="center" vertical="center"/>
    </xf>
    <xf numFmtId="0" fontId="6" fillId="7" borderId="8" xfId="0" applyFont="1" applyFill="1" applyBorder="1" applyAlignment="1">
      <alignment horizontal="center"/>
    </xf>
    <xf numFmtId="0" fontId="6" fillId="7" borderId="1" xfId="0" applyFont="1" applyFill="1" applyBorder="1" applyAlignment="1">
      <alignment horizontal="center"/>
    </xf>
    <xf numFmtId="0" fontId="10" fillId="7" borderId="12" xfId="0" applyFont="1" applyFill="1" applyBorder="1" applyAlignment="1">
      <alignment horizontal="right"/>
    </xf>
    <xf numFmtId="0" fontId="10" fillId="7" borderId="10" xfId="0" applyFont="1" applyFill="1" applyBorder="1" applyAlignment="1">
      <alignment horizontal="center"/>
    </xf>
    <xf numFmtId="0" fontId="10" fillId="7" borderId="3" xfId="0" applyFont="1" applyFill="1" applyBorder="1" applyAlignment="1">
      <alignment horizontal="center"/>
    </xf>
    <xf numFmtId="0" fontId="6" fillId="7" borderId="3" xfId="0" applyFont="1" applyFill="1" applyBorder="1" applyAlignment="1">
      <alignment horizontal="center" vertical="center"/>
    </xf>
    <xf numFmtId="0" fontId="6" fillId="7" borderId="11" xfId="0" applyFont="1" applyFill="1" applyBorder="1" applyAlignment="1">
      <alignment horizontal="center" vertical="center"/>
    </xf>
    <xf numFmtId="0" fontId="6" fillId="7" borderId="3" xfId="0" applyFont="1" applyFill="1" applyBorder="1"/>
    <xf numFmtId="164" fontId="6" fillId="0" borderId="0" xfId="0" quotePrefix="1" applyNumberFormat="1" applyFont="1" applyBorder="1" applyAlignment="1">
      <alignment horizontal="center" vertical="center" wrapText="1"/>
    </xf>
    <xf numFmtId="0" fontId="6" fillId="5" borderId="0" xfId="0" applyFont="1" applyFill="1" applyAlignment="1">
      <alignment horizontal="center" vertical="top" wrapText="1"/>
    </xf>
    <xf numFmtId="1" fontId="6" fillId="5" borderId="0" xfId="0" applyNumberFormat="1" applyFont="1" applyFill="1" applyAlignment="1">
      <alignment horizontal="center" vertical="top" wrapText="1"/>
    </xf>
    <xf numFmtId="0" fontId="6" fillId="7" borderId="0" xfId="0" quotePrefix="1" applyFont="1" applyFill="1" applyBorder="1" applyAlignment="1">
      <alignment horizontal="center"/>
    </xf>
    <xf numFmtId="0" fontId="6" fillId="7" borderId="3" xfId="0" quotePrefix="1" applyFont="1" applyFill="1" applyBorder="1" applyAlignment="1">
      <alignment horizontal="center"/>
    </xf>
    <xf numFmtId="165" fontId="6" fillId="0" borderId="6" xfId="0" applyNumberFormat="1" applyFont="1" applyBorder="1" applyAlignment="1">
      <alignment horizontal="center" vertical="center" wrapText="1"/>
    </xf>
    <xf numFmtId="165" fontId="6" fillId="0" borderId="0" xfId="0" applyNumberFormat="1" applyFont="1" applyBorder="1" applyAlignment="1">
      <alignment horizontal="center" vertical="center" wrapText="1"/>
    </xf>
    <xf numFmtId="165" fontId="10" fillId="3" borderId="6" xfId="0" applyNumberFormat="1" applyFont="1" applyFill="1" applyBorder="1" applyAlignment="1">
      <alignment horizontal="center" vertical="center" wrapText="1"/>
    </xf>
    <xf numFmtId="165" fontId="10" fillId="3" borderId="0" xfId="0" applyNumberFormat="1" applyFont="1" applyFill="1" applyBorder="1" applyAlignment="1">
      <alignment horizontal="center" vertical="center" wrapText="1"/>
    </xf>
    <xf numFmtId="165" fontId="10" fillId="2" borderId="8" xfId="0" applyNumberFormat="1"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164" fontId="6" fillId="0" borderId="1" xfId="0" applyNumberFormat="1" applyFont="1" applyBorder="1" applyAlignment="1">
      <alignment vertical="center" wrapText="1"/>
    </xf>
    <xf numFmtId="164" fontId="6" fillId="0" borderId="1" xfId="0" quotePrefix="1"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1" xfId="0" quotePrefix="1" applyNumberFormat="1" applyFont="1" applyBorder="1" applyAlignment="1">
      <alignment horizontal="center" vertical="top" wrapText="1"/>
    </xf>
    <xf numFmtId="3" fontId="6" fillId="0" borderId="8"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3" fontId="6" fillId="0" borderId="9" xfId="0" applyNumberFormat="1" applyFont="1" applyBorder="1" applyAlignment="1">
      <alignment horizontal="center" vertical="center" wrapText="1"/>
    </xf>
    <xf numFmtId="0" fontId="10" fillId="5" borderId="4" xfId="0" applyFont="1" applyFill="1" applyBorder="1" applyAlignment="1">
      <alignment horizontal="center" vertical="top" wrapText="1"/>
    </xf>
    <xf numFmtId="0" fontId="10" fillId="5" borderId="0" xfId="0" applyFont="1" applyFill="1" applyAlignment="1">
      <alignment horizontal="center" vertical="top" wrapText="1"/>
    </xf>
    <xf numFmtId="0" fontId="13" fillId="5" borderId="2" xfId="0" applyFont="1" applyFill="1" applyBorder="1" applyAlignment="1">
      <alignment vertical="center"/>
    </xf>
    <xf numFmtId="164" fontId="6" fillId="0" borderId="2" xfId="0" applyNumberFormat="1" applyFont="1" applyBorder="1"/>
    <xf numFmtId="164" fontId="13" fillId="5" borderId="2" xfId="0" applyNumberFormat="1" applyFont="1" applyFill="1" applyBorder="1" applyAlignment="1">
      <alignment vertical="center"/>
    </xf>
    <xf numFmtId="0" fontId="12" fillId="5" borderId="4" xfId="0" applyFont="1" applyFill="1" applyBorder="1" applyAlignment="1">
      <alignment horizontal="centerContinuous" vertical="center"/>
    </xf>
    <xf numFmtId="0" fontId="12" fillId="5" borderId="2" xfId="0" applyFont="1" applyFill="1" applyBorder="1" applyAlignment="1">
      <alignment horizontal="centerContinuous" vertical="center"/>
    </xf>
    <xf numFmtId="0" fontId="13" fillId="5" borderId="4" xfId="0" applyFont="1" applyFill="1" applyBorder="1" applyAlignment="1">
      <alignment vertical="center"/>
    </xf>
    <xf numFmtId="1" fontId="13" fillId="5" borderId="2" xfId="0" applyNumberFormat="1" applyFont="1" applyFill="1" applyBorder="1" applyAlignment="1">
      <alignment vertical="center"/>
    </xf>
    <xf numFmtId="0" fontId="10" fillId="5" borderId="10" xfId="0" applyFont="1" applyFill="1" applyBorder="1" applyAlignment="1">
      <alignment horizontal="center" vertical="top" wrapText="1"/>
    </xf>
    <xf numFmtId="0" fontId="6" fillId="5" borderId="3" xfId="0" applyFont="1" applyFill="1" applyBorder="1" applyAlignment="1">
      <alignment horizontal="center" vertical="top" wrapText="1"/>
    </xf>
    <xf numFmtId="0" fontId="10" fillId="5" borderId="3" xfId="0" applyFont="1" applyFill="1" applyBorder="1" applyAlignment="1">
      <alignment horizontal="center" vertical="top" wrapText="1"/>
    </xf>
    <xf numFmtId="164" fontId="6" fillId="0" borderId="4" xfId="0" applyNumberFormat="1" applyFont="1" applyBorder="1"/>
    <xf numFmtId="1" fontId="13" fillId="5" borderId="5" xfId="0" applyNumberFormat="1" applyFont="1" applyFill="1" applyBorder="1" applyAlignment="1">
      <alignment vertical="center"/>
    </xf>
    <xf numFmtId="0" fontId="10" fillId="5" borderId="11" xfId="0" applyFont="1" applyFill="1" applyBorder="1" applyAlignment="1">
      <alignment horizontal="center" vertical="top" wrapText="1"/>
    </xf>
    <xf numFmtId="0" fontId="6" fillId="7" borderId="7" xfId="0" quotePrefix="1" applyFont="1" applyFill="1" applyBorder="1" applyAlignment="1">
      <alignment horizontal="center"/>
    </xf>
    <xf numFmtId="0" fontId="6" fillId="7" borderId="11" xfId="0" quotePrefix="1" applyFont="1" applyFill="1" applyBorder="1" applyAlignment="1">
      <alignment horizontal="center"/>
    </xf>
    <xf numFmtId="165" fontId="6" fillId="0" borderId="7" xfId="0" applyNumberFormat="1" applyFont="1" applyBorder="1" applyAlignment="1">
      <alignment horizontal="center" vertical="center" wrapText="1"/>
    </xf>
    <xf numFmtId="165" fontId="10" fillId="2" borderId="9" xfId="0" applyNumberFormat="1" applyFont="1" applyFill="1" applyBorder="1" applyAlignment="1">
      <alignment horizontal="center" vertical="center" wrapText="1"/>
    </xf>
    <xf numFmtId="165" fontId="6" fillId="5" borderId="0" xfId="0" applyNumberFormat="1" applyFont="1" applyFill="1" applyAlignment="1">
      <alignment horizontal="centerContinuous" vertical="center"/>
    </xf>
    <xf numFmtId="165" fontId="6" fillId="0" borderId="2" xfId="0" applyNumberFormat="1" applyFont="1" applyBorder="1" applyAlignment="1">
      <alignment horizontal="center" vertical="top" wrapText="1"/>
    </xf>
    <xf numFmtId="165" fontId="6" fillId="0" borderId="1" xfId="0" applyNumberFormat="1" applyFont="1" applyBorder="1" applyAlignment="1">
      <alignment horizontal="center"/>
    </xf>
    <xf numFmtId="165" fontId="6" fillId="0" borderId="0" xfId="0" applyNumberFormat="1" applyFont="1" applyBorder="1" applyAlignment="1">
      <alignment horizontal="center"/>
    </xf>
    <xf numFmtId="165" fontId="6" fillId="0" borderId="2" xfId="0" applyNumberFormat="1" applyFont="1" applyBorder="1" applyAlignment="1">
      <alignment horizontal="center"/>
    </xf>
    <xf numFmtId="165" fontId="6" fillId="0" borderId="0" xfId="0" applyNumberFormat="1" applyFont="1"/>
    <xf numFmtId="0" fontId="6" fillId="6" borderId="3" xfId="0" applyFont="1" applyFill="1" applyBorder="1" applyAlignment="1">
      <alignment horizontal="center" vertical="top" wrapText="1"/>
    </xf>
    <xf numFmtId="1" fontId="13" fillId="6" borderId="0" xfId="0" applyNumberFormat="1" applyFont="1" applyFill="1" applyAlignment="1">
      <alignment horizontal="centerContinuous" vertical="center"/>
    </xf>
    <xf numFmtId="3" fontId="6" fillId="0" borderId="0" xfId="0" applyNumberFormat="1" applyFont="1"/>
    <xf numFmtId="0" fontId="10" fillId="7" borderId="4" xfId="0" applyFont="1" applyFill="1" applyBorder="1" applyAlignment="1">
      <alignment horizontal="center"/>
    </xf>
    <xf numFmtId="0" fontId="10" fillId="7" borderId="2" xfId="0" applyFont="1" applyFill="1" applyBorder="1" applyAlignment="1">
      <alignment horizontal="center"/>
    </xf>
    <xf numFmtId="0" fontId="6" fillId="7" borderId="2" xfId="0" quotePrefix="1" applyFont="1" applyFill="1" applyBorder="1" applyAlignment="1">
      <alignment horizontal="center"/>
    </xf>
    <xf numFmtId="0" fontId="6" fillId="7" borderId="5" xfId="0" quotePrefix="1" applyFont="1" applyFill="1" applyBorder="1" applyAlignment="1">
      <alignment horizontal="center"/>
    </xf>
    <xf numFmtId="3" fontId="6" fillId="0" borderId="1" xfId="0" applyNumberFormat="1" applyFont="1" applyBorder="1" applyAlignment="1">
      <alignment horizontal="center"/>
    </xf>
    <xf numFmtId="3" fontId="6" fillId="0" borderId="9" xfId="0" applyNumberFormat="1" applyFont="1" applyBorder="1" applyAlignment="1">
      <alignment horizontal="center"/>
    </xf>
    <xf numFmtId="3" fontId="6" fillId="0" borderId="8" xfId="0" applyNumberFormat="1" applyFont="1" applyBorder="1" applyAlignment="1">
      <alignment horizontal="center"/>
    </xf>
    <xf numFmtId="164" fontId="14" fillId="0" borderId="0" xfId="0" applyNumberFormat="1" applyFont="1" applyBorder="1" applyAlignment="1">
      <alignment vertical="center" wrapText="1"/>
    </xf>
    <xf numFmtId="164" fontId="14" fillId="0" borderId="0" xfId="0" quotePrefix="1" applyNumberFormat="1" applyFont="1" applyBorder="1" applyAlignment="1">
      <alignment horizontal="center" vertical="center" wrapText="1"/>
    </xf>
    <xf numFmtId="164" fontId="14" fillId="0" borderId="0" xfId="0" applyNumberFormat="1" applyFont="1" applyBorder="1" applyAlignment="1">
      <alignment horizontal="center" vertical="center" wrapText="1"/>
    </xf>
    <xf numFmtId="0" fontId="14" fillId="0" borderId="0" xfId="0" applyFont="1"/>
    <xf numFmtId="164" fontId="14" fillId="0" borderId="0" xfId="0" quotePrefix="1" applyNumberFormat="1" applyFont="1" applyBorder="1" applyAlignment="1">
      <alignment horizontal="center" vertical="top" wrapText="1"/>
    </xf>
    <xf numFmtId="3" fontId="14" fillId="0" borderId="6" xfId="0" applyNumberFormat="1" applyFont="1" applyBorder="1" applyAlignment="1">
      <alignment horizontal="center" vertical="center" wrapText="1"/>
    </xf>
    <xf numFmtId="3" fontId="14" fillId="0" borderId="0" xfId="0" applyNumberFormat="1" applyFont="1" applyBorder="1" applyAlignment="1">
      <alignment horizontal="center" vertical="center" wrapText="1"/>
    </xf>
    <xf numFmtId="3" fontId="14" fillId="0" borderId="7" xfId="0" applyNumberFormat="1" applyFont="1" applyBorder="1" applyAlignment="1">
      <alignment horizontal="center" vertical="center" wrapText="1"/>
    </xf>
    <xf numFmtId="0" fontId="10" fillId="3" borderId="1" xfId="0" applyFont="1" applyFill="1" applyBorder="1" applyAlignment="1">
      <alignment vertical="center" wrapText="1"/>
    </xf>
    <xf numFmtId="0" fontId="10" fillId="3" borderId="1" xfId="0" applyFont="1" applyFill="1" applyBorder="1" applyAlignment="1">
      <alignment horizontal="center" vertical="center"/>
    </xf>
    <xf numFmtId="164" fontId="10" fillId="3" borderId="1" xfId="0" quotePrefix="1" applyNumberFormat="1" applyFont="1" applyFill="1" applyBorder="1" applyAlignment="1">
      <alignment horizontal="center" vertical="top" wrapText="1"/>
    </xf>
    <xf numFmtId="165" fontId="10" fillId="3" borderId="8" xfId="0" applyNumberFormat="1" applyFont="1" applyFill="1" applyBorder="1" applyAlignment="1">
      <alignment horizontal="center" vertical="center" wrapText="1"/>
    </xf>
    <xf numFmtId="165" fontId="10" fillId="3" borderId="1"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wrapText="1"/>
    </xf>
    <xf numFmtId="3" fontId="10" fillId="3" borderId="1" xfId="0" applyNumberFormat="1" applyFont="1" applyFill="1" applyBorder="1" applyAlignment="1">
      <alignment horizontal="center" vertical="center" wrapText="1"/>
    </xf>
    <xf numFmtId="165" fontId="10" fillId="3" borderId="9" xfId="0" applyNumberFormat="1" applyFont="1" applyFill="1" applyBorder="1" applyAlignment="1">
      <alignment horizontal="center" vertical="center" wrapText="1"/>
    </xf>
    <xf numFmtId="0" fontId="12" fillId="5" borderId="13" xfId="0" applyFont="1" applyFill="1" applyBorder="1" applyAlignment="1">
      <alignment horizontal="center" vertical="top" wrapText="1"/>
    </xf>
    <xf numFmtId="0" fontId="6" fillId="0" borderId="13" xfId="0" applyFont="1" applyBorder="1" applyAlignment="1">
      <alignment horizontal="center" vertical="top" wrapText="1"/>
    </xf>
    <xf numFmtId="0" fontId="6" fillId="0" borderId="15" xfId="0" applyFont="1" applyBorder="1" applyAlignment="1">
      <alignment horizontal="center" vertical="top" wrapText="1"/>
    </xf>
    <xf numFmtId="0" fontId="6" fillId="0" borderId="14" xfId="0" applyFont="1" applyBorder="1" applyAlignment="1">
      <alignment horizontal="center"/>
    </xf>
    <xf numFmtId="0" fontId="6" fillId="7" borderId="15" xfId="0" applyFont="1" applyFill="1" applyBorder="1" applyAlignment="1">
      <alignment horizontal="center"/>
    </xf>
    <xf numFmtId="0" fontId="6" fillId="7" borderId="14" xfId="0" applyFont="1" applyFill="1" applyBorder="1" applyAlignment="1">
      <alignment horizontal="center"/>
    </xf>
    <xf numFmtId="165" fontId="6" fillId="7" borderId="0" xfId="0" applyNumberFormat="1" applyFont="1" applyFill="1" applyBorder="1" applyAlignment="1">
      <alignment horizontal="center"/>
    </xf>
    <xf numFmtId="0" fontId="6" fillId="6" borderId="0" xfId="0" applyFont="1" applyFill="1" applyBorder="1" applyAlignment="1">
      <alignment horizontal="center" vertical="top" wrapText="1"/>
    </xf>
    <xf numFmtId="0" fontId="6" fillId="6" borderId="1" xfId="0" applyFont="1" applyFill="1" applyBorder="1" applyAlignment="1">
      <alignment horizontal="center"/>
    </xf>
    <xf numFmtId="0" fontId="2" fillId="3" borderId="0" xfId="0" applyFont="1" applyFill="1" applyAlignment="1">
      <alignment horizontal="center" vertical="center"/>
    </xf>
    <xf numFmtId="3" fontId="1" fillId="0" borderId="3" xfId="0" applyNumberFormat="1" applyFont="1" applyBorder="1" applyAlignment="1">
      <alignment horizontal="centerContinuous" vertical="top"/>
    </xf>
    <xf numFmtId="164" fontId="2" fillId="0" borderId="3" xfId="0" applyNumberFormat="1" applyFont="1" applyBorder="1" applyAlignment="1">
      <alignment horizontal="centerContinuous" vertical="top"/>
    </xf>
    <xf numFmtId="0" fontId="2" fillId="0" borderId="3" xfId="0" applyFont="1" applyBorder="1" applyAlignment="1">
      <alignment horizontal="centerContinuous" vertical="top"/>
    </xf>
    <xf numFmtId="1" fontId="2" fillId="0" borderId="3" xfId="0" applyNumberFormat="1" applyFont="1" applyBorder="1" applyAlignment="1">
      <alignment horizontal="centerContinuous" vertical="top"/>
    </xf>
    <xf numFmtId="0" fontId="1" fillId="4" borderId="3" xfId="0" applyFont="1" applyFill="1" applyBorder="1" applyAlignment="1">
      <alignment horizontal="center" vertical="top" wrapText="1"/>
    </xf>
    <xf numFmtId="0" fontId="1" fillId="2" borderId="3" xfId="0" applyFont="1" applyFill="1" applyBorder="1" applyAlignment="1">
      <alignment horizontal="center" vertical="top" wrapText="1"/>
    </xf>
    <xf numFmtId="1" fontId="1" fillId="4" borderId="3" xfId="0" applyNumberFormat="1" applyFont="1" applyFill="1" applyBorder="1" applyAlignment="1">
      <alignment horizontal="center" vertical="top" wrapText="1"/>
    </xf>
    <xf numFmtId="1" fontId="1" fillId="2" borderId="3" xfId="0" applyNumberFormat="1" applyFont="1" applyFill="1" applyBorder="1" applyAlignment="1">
      <alignment horizontal="center" vertical="top" wrapText="1"/>
    </xf>
    <xf numFmtId="0" fontId="15" fillId="5" borderId="1" xfId="0" applyFont="1" applyFill="1" applyBorder="1" applyAlignment="1">
      <alignment horizontal="centerContinuous" vertical="center"/>
    </xf>
    <xf numFmtId="1" fontId="15" fillId="5" borderId="1" xfId="0" applyNumberFormat="1" applyFont="1" applyFill="1" applyBorder="1" applyAlignment="1">
      <alignment horizontal="centerContinuous" vertical="center"/>
    </xf>
    <xf numFmtId="0" fontId="1" fillId="7" borderId="10" xfId="0" applyFont="1" applyFill="1" applyBorder="1" applyAlignment="1">
      <alignment horizontal="center" vertical="top" wrapText="1"/>
    </xf>
    <xf numFmtId="0" fontId="1" fillId="7" borderId="6" xfId="0" applyFont="1" applyFill="1" applyBorder="1" applyAlignment="1">
      <alignment horizontal="center" vertical="top" wrapText="1"/>
    </xf>
    <xf numFmtId="0" fontId="1" fillId="7" borderId="8" xfId="0" applyFont="1" applyFill="1" applyBorder="1" applyAlignment="1">
      <alignment horizontal="center"/>
    </xf>
    <xf numFmtId="0" fontId="1" fillId="7" borderId="6" xfId="0" applyFont="1" applyFill="1" applyBorder="1" applyAlignment="1">
      <alignment horizontal="center" vertical="center"/>
    </xf>
    <xf numFmtId="0" fontId="1" fillId="7" borderId="8" xfId="0" applyFont="1" applyFill="1" applyBorder="1" applyAlignment="1">
      <alignment horizontal="center" vertical="center"/>
    </xf>
    <xf numFmtId="0" fontId="1" fillId="0" borderId="10"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8" xfId="0" applyFont="1" applyFill="1" applyBorder="1" applyAlignment="1">
      <alignment horizontal="center"/>
    </xf>
    <xf numFmtId="0" fontId="1" fillId="0" borderId="6" xfId="0" applyFont="1" applyFill="1" applyBorder="1" applyAlignment="1">
      <alignment horizontal="center" vertical="center"/>
    </xf>
    <xf numFmtId="0" fontId="1" fillId="0" borderId="8" xfId="0" applyFont="1" applyFill="1" applyBorder="1" applyAlignment="1">
      <alignment horizontal="center" vertical="center"/>
    </xf>
    <xf numFmtId="1" fontId="1" fillId="2" borderId="11" xfId="0" applyNumberFormat="1" applyFont="1" applyFill="1" applyBorder="1" applyAlignment="1">
      <alignment horizontal="center" vertical="top" wrapText="1"/>
    </xf>
    <xf numFmtId="1" fontId="1" fillId="2" borderId="7" xfId="0" applyNumberFormat="1" applyFont="1" applyFill="1" applyBorder="1" applyAlignment="1">
      <alignment horizontal="center" vertical="top" wrapText="1"/>
    </xf>
    <xf numFmtId="1" fontId="1" fillId="2" borderId="7" xfId="0" applyNumberFormat="1" applyFont="1" applyFill="1" applyBorder="1" applyAlignment="1">
      <alignment horizontal="center"/>
    </xf>
    <xf numFmtId="1" fontId="1" fillId="0" borderId="11" xfId="0" applyNumberFormat="1" applyFont="1" applyBorder="1"/>
    <xf numFmtId="0" fontId="1" fillId="0" borderId="10" xfId="0" applyFont="1" applyBorder="1"/>
    <xf numFmtId="0" fontId="1" fillId="0" borderId="6" xfId="0" applyFont="1" applyBorder="1" applyAlignment="1">
      <alignment horizontal="center" vertical="top" wrapText="1"/>
    </xf>
    <xf numFmtId="0" fontId="1" fillId="0" borderId="6" xfId="0" applyFont="1" applyBorder="1" applyAlignment="1">
      <alignment horizontal="center" vertical="center"/>
    </xf>
    <xf numFmtId="1" fontId="1" fillId="7" borderId="10" xfId="0" applyNumberFormat="1" applyFont="1" applyFill="1" applyBorder="1" applyAlignment="1">
      <alignment horizontal="center" vertical="top" wrapText="1"/>
    </xf>
    <xf numFmtId="1" fontId="1" fillId="7" borderId="6" xfId="0" applyNumberFormat="1" applyFont="1" applyFill="1" applyBorder="1" applyAlignment="1">
      <alignment horizontal="center" vertical="top" wrapText="1"/>
    </xf>
    <xf numFmtId="1" fontId="1" fillId="7" borderId="8" xfId="0" applyNumberFormat="1" applyFont="1" applyFill="1" applyBorder="1" applyAlignment="1">
      <alignment horizontal="center"/>
    </xf>
    <xf numFmtId="1" fontId="1" fillId="7" borderId="6" xfId="0" applyNumberFormat="1" applyFont="1" applyFill="1" applyBorder="1" applyAlignment="1">
      <alignment horizontal="center" vertical="center"/>
    </xf>
    <xf numFmtId="0" fontId="1" fillId="2" borderId="1" xfId="0" applyFont="1" applyFill="1" applyBorder="1" applyAlignment="1">
      <alignment horizontal="center" vertical="center"/>
    </xf>
    <xf numFmtId="1" fontId="1" fillId="2" borderId="7" xfId="0" applyNumberFormat="1" applyFont="1" applyFill="1" applyBorder="1" applyAlignment="1">
      <alignment horizontal="center" vertical="center"/>
    </xf>
    <xf numFmtId="2" fontId="1" fillId="0" borderId="0" xfId="0" applyNumberFormat="1" applyFont="1"/>
    <xf numFmtId="165" fontId="6" fillId="0" borderId="9" xfId="0" applyNumberFormat="1" applyFont="1" applyBorder="1" applyAlignment="1">
      <alignment horizontal="center"/>
    </xf>
    <xf numFmtId="0" fontId="10" fillId="0" borderId="6" xfId="0" applyFont="1" applyBorder="1" applyAlignment="1">
      <alignment horizontal="center"/>
    </xf>
    <xf numFmtId="165" fontId="10" fillId="0" borderId="0" xfId="0" applyNumberFormat="1" applyFont="1" applyBorder="1" applyAlignment="1">
      <alignment horizontal="center"/>
    </xf>
    <xf numFmtId="0" fontId="10" fillId="0" borderId="10" xfId="0" applyFont="1" applyBorder="1"/>
    <xf numFmtId="0" fontId="10" fillId="0" borderId="3" xfId="0" applyFont="1" applyBorder="1"/>
    <xf numFmtId="3" fontId="10" fillId="0" borderId="3" xfId="0" applyNumberFormat="1" applyFont="1" applyBorder="1"/>
    <xf numFmtId="1" fontId="10" fillId="0" borderId="11" xfId="0" applyNumberFormat="1" applyFont="1" applyBorder="1"/>
    <xf numFmtId="3" fontId="10" fillId="0" borderId="10" xfId="0" applyNumberFormat="1" applyFont="1" applyBorder="1"/>
    <xf numFmtId="0" fontId="16" fillId="6" borderId="6" xfId="0" applyFont="1" applyFill="1" applyBorder="1" applyAlignment="1">
      <alignment horizontal="centerContinuous" vertical="center" wrapText="1"/>
    </xf>
    <xf numFmtId="165" fontId="16" fillId="6" borderId="0" xfId="0" applyNumberFormat="1" applyFont="1" applyFill="1" applyBorder="1" applyAlignment="1">
      <alignment horizontal="centerContinuous" vertical="center" wrapText="1"/>
    </xf>
    <xf numFmtId="1" fontId="16" fillId="6" borderId="7" xfId="0" applyNumberFormat="1" applyFont="1" applyFill="1" applyBorder="1" applyAlignment="1">
      <alignment horizontal="centerContinuous" vertical="center" wrapText="1"/>
    </xf>
    <xf numFmtId="0" fontId="6" fillId="0" borderId="9" xfId="0" applyFont="1" applyBorder="1"/>
    <xf numFmtId="165" fontId="6" fillId="5" borderId="0" xfId="0" applyNumberFormat="1" applyFont="1" applyFill="1"/>
    <xf numFmtId="0" fontId="13" fillId="6" borderId="2" xfId="0" applyFont="1" applyFill="1" applyBorder="1" applyAlignment="1">
      <alignment vertical="center"/>
    </xf>
    <xf numFmtId="1" fontId="13" fillId="6" borderId="2" xfId="0" applyNumberFormat="1" applyFont="1" applyFill="1" applyBorder="1" applyAlignment="1">
      <alignment vertical="center"/>
    </xf>
    <xf numFmtId="1" fontId="13" fillId="6" borderId="5" xfId="0" applyNumberFormat="1" applyFont="1" applyFill="1" applyBorder="1" applyAlignment="1">
      <alignment vertical="center"/>
    </xf>
    <xf numFmtId="165" fontId="10" fillId="0" borderId="7" xfId="0" applyNumberFormat="1" applyFont="1" applyBorder="1" applyAlignment="1">
      <alignment horizontal="center"/>
    </xf>
    <xf numFmtId="0" fontId="16" fillId="6" borderId="0" xfId="0" applyFont="1" applyFill="1" applyBorder="1" applyAlignment="1">
      <alignment horizontal="centerContinuous" vertical="center" wrapText="1"/>
    </xf>
    <xf numFmtId="0" fontId="6" fillId="8" borderId="1" xfId="0" applyFont="1" applyFill="1" applyBorder="1" applyAlignment="1">
      <alignment vertical="center" wrapText="1"/>
    </xf>
    <xf numFmtId="164" fontId="6" fillId="8" borderId="1" xfId="0" quotePrefix="1" applyNumberFormat="1" applyFont="1" applyFill="1" applyBorder="1" applyAlignment="1">
      <alignment horizontal="center" vertical="center" wrapText="1"/>
    </xf>
    <xf numFmtId="0" fontId="6" fillId="8" borderId="1" xfId="0" applyFont="1" applyFill="1" applyBorder="1" applyAlignment="1">
      <alignment horizontal="center" vertical="center"/>
    </xf>
    <xf numFmtId="164" fontId="6" fillId="8" borderId="1" xfId="0" quotePrefix="1" applyNumberFormat="1" applyFont="1" applyFill="1" applyBorder="1" applyAlignment="1">
      <alignment horizontal="center" vertical="top" wrapText="1"/>
    </xf>
    <xf numFmtId="165" fontId="6" fillId="8" borderId="8" xfId="0" applyNumberFormat="1" applyFont="1" applyFill="1" applyBorder="1" applyAlignment="1">
      <alignment horizontal="center" vertical="center" wrapText="1"/>
    </xf>
    <xf numFmtId="165" fontId="6" fillId="8" borderId="1" xfId="0" applyNumberFormat="1" applyFont="1" applyFill="1" applyBorder="1" applyAlignment="1">
      <alignment horizontal="center" vertical="center" wrapText="1"/>
    </xf>
    <xf numFmtId="165" fontId="6" fillId="8" borderId="11" xfId="0" applyNumberFormat="1" applyFont="1" applyFill="1" applyBorder="1" applyAlignment="1">
      <alignment horizontal="center" vertical="center" wrapText="1"/>
    </xf>
    <xf numFmtId="3" fontId="17" fillId="0" borderId="0" xfId="0" applyNumberFormat="1" applyFont="1" applyBorder="1" applyAlignment="1">
      <alignment horizontal="center" vertical="center" wrapText="1"/>
    </xf>
    <xf numFmtId="3" fontId="17" fillId="0" borderId="0" xfId="0" applyNumberFormat="1" applyFont="1"/>
    <xf numFmtId="3" fontId="17" fillId="0" borderId="7" xfId="0" applyNumberFormat="1" applyFont="1" applyBorder="1" applyAlignment="1">
      <alignment horizontal="center" vertical="center" wrapText="1"/>
    </xf>
    <xf numFmtId="164" fontId="6" fillId="9" borderId="0" xfId="0" applyNumberFormat="1" applyFont="1" applyFill="1" applyBorder="1" applyAlignment="1">
      <alignment vertical="center" wrapText="1"/>
    </xf>
    <xf numFmtId="164" fontId="6" fillId="9" borderId="0" xfId="0" quotePrefix="1" applyNumberFormat="1" applyFont="1" applyFill="1" applyBorder="1" applyAlignment="1">
      <alignment horizontal="center" vertical="center" wrapText="1"/>
    </xf>
    <xf numFmtId="164" fontId="6" fillId="9" borderId="0" xfId="0" applyNumberFormat="1" applyFont="1" applyFill="1" applyBorder="1" applyAlignment="1">
      <alignment horizontal="center" vertical="center" wrapText="1"/>
    </xf>
    <xf numFmtId="165" fontId="10" fillId="9" borderId="0" xfId="0" applyNumberFormat="1" applyFont="1" applyFill="1" applyBorder="1" applyAlignment="1">
      <alignment horizontal="center" vertical="center" wrapText="1"/>
    </xf>
    <xf numFmtId="3" fontId="6" fillId="9" borderId="0" xfId="0" applyNumberFormat="1" applyFont="1" applyFill="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1" fontId="6" fillId="0" borderId="8"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 fontId="6" fillId="0" borderId="9" xfId="0" applyNumberFormat="1" applyFont="1" applyBorder="1" applyAlignment="1">
      <alignment horizontal="center" vertical="center" wrapText="1"/>
    </xf>
    <xf numFmtId="164" fontId="17" fillId="0" borderId="0" xfId="0" applyNumberFormat="1" applyFont="1" applyBorder="1" applyAlignment="1">
      <alignment vertical="center" wrapText="1"/>
    </xf>
    <xf numFmtId="164" fontId="17" fillId="0" borderId="0" xfId="0" quotePrefix="1" applyNumberFormat="1" applyFont="1" applyBorder="1" applyAlignment="1">
      <alignment horizontal="center" vertical="center" wrapText="1"/>
    </xf>
    <xf numFmtId="164" fontId="17" fillId="0" borderId="0" xfId="0" applyNumberFormat="1" applyFont="1" applyBorder="1" applyAlignment="1">
      <alignment horizontal="center" vertical="center" wrapText="1"/>
    </xf>
    <xf numFmtId="164" fontId="17" fillId="0" borderId="0" xfId="0" quotePrefix="1" applyNumberFormat="1" applyFont="1" applyBorder="1" applyAlignment="1">
      <alignment horizontal="center" vertical="top" wrapText="1"/>
    </xf>
    <xf numFmtId="0" fontId="6" fillId="3" borderId="1" xfId="0" applyFont="1" applyFill="1" applyBorder="1" applyAlignment="1">
      <alignment vertical="center" wrapText="1"/>
    </xf>
    <xf numFmtId="165" fontId="6" fillId="3" borderId="8" xfId="0" quotePrefix="1" applyNumberFormat="1"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165" fontId="6" fillId="3" borderId="1" xfId="0" quotePrefix="1" applyNumberFormat="1" applyFont="1" applyFill="1" applyBorder="1" applyAlignment="1">
      <alignment horizontal="center" vertical="center" wrapText="1"/>
    </xf>
    <xf numFmtId="3" fontId="6" fillId="3" borderId="8" xfId="0" quotePrefix="1" applyNumberFormat="1" applyFont="1" applyFill="1" applyBorder="1" applyAlignment="1">
      <alignment horizontal="center" vertical="center" wrapText="1"/>
    </xf>
    <xf numFmtId="3" fontId="6" fillId="3" borderId="1" xfId="0" quotePrefix="1" applyNumberFormat="1" applyFont="1" applyFill="1" applyBorder="1" applyAlignment="1">
      <alignment horizontal="center" vertical="center" wrapText="1"/>
    </xf>
    <xf numFmtId="165" fontId="6" fillId="3" borderId="9" xfId="0" quotePrefix="1" applyNumberFormat="1" applyFont="1" applyFill="1" applyBorder="1" applyAlignment="1">
      <alignment horizontal="center" vertical="center" wrapText="1"/>
    </xf>
    <xf numFmtId="0" fontId="6" fillId="3" borderId="1" xfId="0" quotePrefix="1" applyFont="1" applyFill="1" applyBorder="1" applyAlignment="1">
      <alignment horizontal="center" vertical="center"/>
    </xf>
    <xf numFmtId="3" fontId="6" fillId="9" borderId="4" xfId="0" applyNumberFormat="1" applyFont="1" applyFill="1" applyBorder="1" applyAlignment="1">
      <alignment horizontal="center" vertical="center"/>
    </xf>
    <xf numFmtId="3" fontId="6" fillId="0" borderId="6" xfId="0" applyNumberFormat="1" applyFont="1" applyBorder="1"/>
    <xf numFmtId="3" fontId="17" fillId="0" borderId="6" xfId="0" applyNumberFormat="1" applyFont="1" applyBorder="1"/>
    <xf numFmtId="165" fontId="10" fillId="9" borderId="5" xfId="0" applyNumberFormat="1" applyFont="1" applyFill="1" applyBorder="1" applyAlignment="1">
      <alignment horizontal="center" vertical="center" wrapText="1"/>
    </xf>
    <xf numFmtId="165" fontId="6" fillId="10" borderId="8" xfId="0" applyNumberFormat="1" applyFont="1" applyFill="1" applyBorder="1" applyAlignment="1">
      <alignment horizontal="center" vertical="center" wrapText="1"/>
    </xf>
    <xf numFmtId="165" fontId="6" fillId="10" borderId="1" xfId="0" applyNumberFormat="1" applyFont="1" applyFill="1" applyBorder="1" applyAlignment="1">
      <alignment horizontal="center" vertical="center" wrapText="1"/>
    </xf>
    <xf numFmtId="0" fontId="1" fillId="0" borderId="8" xfId="0" applyFont="1" applyBorder="1" applyAlignment="1">
      <alignment horizontal="center" vertical="center"/>
    </xf>
    <xf numFmtId="0" fontId="1" fillId="0" borderId="1" xfId="0" applyFont="1" applyBorder="1" applyAlignment="1">
      <alignment horizontal="center" vertical="center"/>
    </xf>
    <xf numFmtId="3" fontId="1" fillId="0" borderId="1" xfId="0" applyNumberFormat="1" applyFont="1" applyBorder="1"/>
    <xf numFmtId="164"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1" fontId="1" fillId="7" borderId="8" xfId="0" applyNumberFormat="1" applyFont="1" applyFill="1" applyBorder="1" applyAlignment="1">
      <alignment horizontal="center" vertical="center"/>
    </xf>
    <xf numFmtId="1" fontId="1" fillId="2" borderId="9" xfId="0" applyNumberFormat="1" applyFont="1" applyFill="1" applyBorder="1" applyAlignment="1">
      <alignment horizontal="center" vertical="center"/>
    </xf>
    <xf numFmtId="2" fontId="1" fillId="0" borderId="1" xfId="0" applyNumberFormat="1" applyFont="1" applyBorder="1"/>
    <xf numFmtId="0" fontId="1" fillId="0" borderId="0" xfId="0" applyFont="1" applyFill="1" applyAlignment="1">
      <alignment horizontal="center" vertical="center"/>
    </xf>
    <xf numFmtId="3" fontId="1" fillId="0" borderId="0" xfId="0" applyNumberFormat="1" applyFont="1" applyFill="1"/>
    <xf numFmtId="164" fontId="1" fillId="0" borderId="0" xfId="0" applyNumberFormat="1" applyFont="1" applyFill="1" applyAlignment="1">
      <alignment horizontal="center" vertical="center"/>
    </xf>
    <xf numFmtId="0" fontId="6" fillId="5" borderId="0" xfId="0" applyFont="1" applyFill="1" applyBorder="1"/>
    <xf numFmtId="165" fontId="6" fillId="5" borderId="0" xfId="0" applyNumberFormat="1" applyFont="1" applyFill="1" applyBorder="1"/>
    <xf numFmtId="1" fontId="6" fillId="5" borderId="0" xfId="0" applyNumberFormat="1" applyFont="1" applyFill="1" applyBorder="1"/>
    <xf numFmtId="0" fontId="6" fillId="0" borderId="0" xfId="0" applyFont="1" applyFill="1" applyBorder="1" applyAlignment="1">
      <alignment horizontal="center" vertical="top" wrapText="1"/>
    </xf>
    <xf numFmtId="0" fontId="6" fillId="0" borderId="1" xfId="0" applyFont="1" applyFill="1" applyBorder="1" applyAlignment="1">
      <alignment horizontal="center"/>
    </xf>
    <xf numFmtId="0" fontId="13" fillId="5" borderId="2" xfId="0" applyFont="1" applyFill="1" applyBorder="1" applyAlignment="1">
      <alignment horizontal="centerContinuous" vertical="center"/>
    </xf>
    <xf numFmtId="0" fontId="10" fillId="5" borderId="1" xfId="0" applyFont="1" applyFill="1" applyBorder="1" applyAlignment="1">
      <alignment horizontal="center" vertical="top" wrapText="1"/>
    </xf>
    <xf numFmtId="0" fontId="10" fillId="5" borderId="8" xfId="0" applyFont="1" applyFill="1" applyBorder="1" applyAlignment="1">
      <alignment horizontal="center" vertical="top" wrapText="1"/>
    </xf>
    <xf numFmtId="0" fontId="13" fillId="5" borderId="3" xfId="0" applyFont="1" applyFill="1" applyBorder="1" applyAlignment="1">
      <alignment horizontal="centerContinuous" vertical="center"/>
    </xf>
    <xf numFmtId="1" fontId="13" fillId="5" borderId="2" xfId="0" applyNumberFormat="1" applyFont="1" applyFill="1" applyBorder="1" applyAlignment="1">
      <alignment horizontal="centerContinuous" vertical="center"/>
    </xf>
    <xf numFmtId="1" fontId="13" fillId="5" borderId="5" xfId="0" applyNumberFormat="1" applyFont="1" applyFill="1" applyBorder="1" applyAlignment="1">
      <alignment horizontal="centerContinuous" vertical="center"/>
    </xf>
    <xf numFmtId="164" fontId="12" fillId="5" borderId="10" xfId="0" applyNumberFormat="1" applyFont="1" applyFill="1" applyBorder="1" applyAlignment="1">
      <alignment horizontal="centerContinuous" vertical="center"/>
    </xf>
    <xf numFmtId="164" fontId="6" fillId="5" borderId="2" xfId="0" applyNumberFormat="1" applyFont="1" applyFill="1" applyBorder="1" applyAlignment="1">
      <alignment horizontal="centerContinuous" vertical="center"/>
    </xf>
    <xf numFmtId="0" fontId="6" fillId="0" borderId="3" xfId="0" applyFont="1" applyBorder="1" applyAlignment="1">
      <alignment horizontal="centerContinuous" vertical="center"/>
    </xf>
    <xf numFmtId="3" fontId="2" fillId="0" borderId="3" xfId="0" applyNumberFormat="1" applyFont="1" applyBorder="1" applyAlignment="1">
      <alignment horizontal="center"/>
    </xf>
    <xf numFmtId="2" fontId="1" fillId="5" borderId="0" xfId="0" applyNumberFormat="1" applyFont="1" applyFill="1"/>
    <xf numFmtId="2" fontId="1" fillId="5" borderId="3" xfId="0" applyNumberFormat="1" applyFont="1" applyFill="1" applyBorder="1"/>
    <xf numFmtId="164" fontId="3" fillId="5" borderId="0" xfId="0" applyNumberFormat="1" applyFont="1" applyFill="1" applyAlignment="1">
      <alignment vertical="center"/>
    </xf>
    <xf numFmtId="2" fontId="22" fillId="5" borderId="0" xfId="0" applyNumberFormat="1" applyFont="1" applyFill="1" applyAlignment="1">
      <alignment horizontal="centerContinuous" vertical="center"/>
    </xf>
    <xf numFmtId="2" fontId="22" fillId="7" borderId="10" xfId="0" applyNumberFormat="1" applyFont="1" applyFill="1" applyBorder="1" applyAlignment="1">
      <alignment horizontal="center" vertical="top" wrapText="1"/>
    </xf>
    <xf numFmtId="2" fontId="22" fillId="2" borderId="11" xfId="0" applyNumberFormat="1" applyFont="1" applyFill="1" applyBorder="1" applyAlignment="1">
      <alignment horizontal="center" vertical="top" wrapText="1"/>
    </xf>
    <xf numFmtId="2" fontId="22" fillId="7" borderId="6" xfId="0" applyNumberFormat="1" applyFont="1" applyFill="1" applyBorder="1" applyAlignment="1">
      <alignment horizontal="center" vertical="top" wrapText="1"/>
    </xf>
    <xf numFmtId="2" fontId="22" fillId="2" borderId="7" xfId="0" applyNumberFormat="1" applyFont="1" applyFill="1" applyBorder="1" applyAlignment="1">
      <alignment horizontal="center" vertical="top" wrapText="1"/>
    </xf>
    <xf numFmtId="2" fontId="22" fillId="2" borderId="7" xfId="0" applyNumberFormat="1" applyFont="1" applyFill="1" applyBorder="1" applyAlignment="1">
      <alignment horizontal="center"/>
    </xf>
    <xf numFmtId="0" fontId="6" fillId="0" borderId="2" xfId="0" applyFont="1" applyFill="1" applyBorder="1" applyAlignment="1">
      <alignment horizontal="center" vertical="top" wrapText="1"/>
    </xf>
    <xf numFmtId="0" fontId="6" fillId="0" borderId="13" xfId="0" applyFont="1" applyFill="1" applyBorder="1" applyAlignment="1">
      <alignment horizontal="center" vertical="top" wrapText="1"/>
    </xf>
    <xf numFmtId="0" fontId="6" fillId="0" borderId="15" xfId="0" applyFont="1" applyFill="1" applyBorder="1" applyAlignment="1">
      <alignment horizontal="center" vertical="top" wrapText="1"/>
    </xf>
    <xf numFmtId="0" fontId="6" fillId="0" borderId="14" xfId="0" applyFont="1" applyFill="1" applyBorder="1" applyAlignment="1">
      <alignment horizontal="center"/>
    </xf>
    <xf numFmtId="0" fontId="6" fillId="0" borderId="15" xfId="0" applyFont="1" applyFill="1" applyBorder="1" applyAlignment="1">
      <alignment horizontal="center"/>
    </xf>
    <xf numFmtId="0" fontId="6" fillId="0" borderId="1" xfId="0" applyFont="1" applyFill="1" applyBorder="1" applyAlignment="1">
      <alignment horizontal="center" vertical="center"/>
    </xf>
    <xf numFmtId="0" fontId="6" fillId="0" borderId="9" xfId="0" applyFont="1" applyFill="1" applyBorder="1" applyAlignment="1">
      <alignment horizontal="center" vertical="center"/>
    </xf>
    <xf numFmtId="164" fontId="12" fillId="5" borderId="3" xfId="0" applyNumberFormat="1" applyFont="1" applyFill="1" applyBorder="1" applyAlignment="1">
      <alignment horizontal="centerContinuous" vertical="center"/>
    </xf>
    <xf numFmtId="3" fontId="6" fillId="9" borderId="2" xfId="0" applyNumberFormat="1" applyFont="1" applyFill="1" applyBorder="1" applyAlignment="1">
      <alignment horizontal="center" vertical="center"/>
    </xf>
    <xf numFmtId="3" fontId="6" fillId="0" borderId="0" xfId="0" applyNumberFormat="1" applyFont="1" applyBorder="1"/>
    <xf numFmtId="0" fontId="12" fillId="5" borderId="5" xfId="0" applyFont="1" applyFill="1" applyBorder="1" applyAlignment="1">
      <alignment horizontal="centerContinuous" vertical="center"/>
    </xf>
    <xf numFmtId="0" fontId="12" fillId="5" borderId="6" xfId="0" applyFont="1" applyFill="1" applyBorder="1" applyAlignment="1">
      <alignment horizontal="centerContinuous" vertical="center"/>
    </xf>
    <xf numFmtId="0" fontId="12" fillId="5" borderId="0" xfId="0" applyFont="1" applyFill="1" applyBorder="1" applyAlignment="1">
      <alignment horizontal="centerContinuous" vertical="center"/>
    </xf>
    <xf numFmtId="0" fontId="12" fillId="5" borderId="7" xfId="0" applyFont="1" applyFill="1" applyBorder="1" applyAlignment="1">
      <alignment horizontal="centerContinuous" vertical="center"/>
    </xf>
    <xf numFmtId="0" fontId="12" fillId="0" borderId="6" xfId="0" applyFont="1" applyBorder="1" applyAlignment="1">
      <alignment horizontal="centerContinuous" vertical="center"/>
    </xf>
    <xf numFmtId="0" fontId="12" fillId="5" borderId="10" xfId="0" applyFont="1" applyFill="1" applyBorder="1" applyAlignment="1">
      <alignment horizontal="centerContinuous" vertical="center"/>
    </xf>
    <xf numFmtId="0" fontId="12" fillId="5" borderId="11" xfId="0" applyFont="1" applyFill="1" applyBorder="1" applyAlignment="1">
      <alignment horizontal="centerContinuous" vertical="center"/>
    </xf>
    <xf numFmtId="0" fontId="12" fillId="5" borderId="0" xfId="0" applyFont="1" applyFill="1" applyBorder="1" applyAlignment="1">
      <alignment horizontal="center" vertical="center"/>
    </xf>
    <xf numFmtId="0" fontId="6" fillId="0" borderId="4"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8" xfId="0" applyFont="1" applyFill="1" applyBorder="1"/>
    <xf numFmtId="0" fontId="6" fillId="0" borderId="6" xfId="0" applyFont="1" applyFill="1" applyBorder="1"/>
    <xf numFmtId="0" fontId="6" fillId="0" borderId="0" xfId="0" applyFont="1" applyFill="1" applyBorder="1" applyAlignment="1">
      <alignment horizontal="center" vertical="center"/>
    </xf>
    <xf numFmtId="0" fontId="6" fillId="7" borderId="10" xfId="0" applyFont="1" applyFill="1" applyBorder="1"/>
    <xf numFmtId="0" fontId="6" fillId="8" borderId="8" xfId="0" applyFont="1" applyFill="1" applyBorder="1" applyAlignment="1">
      <alignment vertical="center" wrapText="1"/>
    </xf>
    <xf numFmtId="164" fontId="6" fillId="8" borderId="9" xfId="0" quotePrefix="1" applyNumberFormat="1" applyFont="1" applyFill="1" applyBorder="1" applyAlignment="1">
      <alignment horizontal="center" vertical="top" wrapText="1"/>
    </xf>
    <xf numFmtId="164" fontId="6" fillId="0" borderId="6" xfId="0" applyNumberFormat="1" applyFont="1" applyBorder="1" applyAlignment="1">
      <alignment vertical="center" wrapText="1"/>
    </xf>
    <xf numFmtId="164" fontId="6" fillId="0" borderId="7" xfId="0" quotePrefix="1" applyNumberFormat="1" applyFont="1" applyBorder="1" applyAlignment="1">
      <alignment horizontal="center" vertical="top" wrapText="1"/>
    </xf>
    <xf numFmtId="164" fontId="6" fillId="0" borderId="8" xfId="0" applyNumberFormat="1" applyFont="1" applyBorder="1" applyAlignment="1">
      <alignment vertical="center" wrapText="1"/>
    </xf>
    <xf numFmtId="164" fontId="6" fillId="0" borderId="9" xfId="0" quotePrefix="1" applyNumberFormat="1" applyFont="1" applyBorder="1" applyAlignment="1">
      <alignment horizontal="center" vertical="top" wrapText="1"/>
    </xf>
    <xf numFmtId="164" fontId="6" fillId="9" borderId="6" xfId="0" applyNumberFormat="1" applyFont="1" applyFill="1" applyBorder="1" applyAlignment="1">
      <alignment vertical="center" wrapText="1"/>
    </xf>
    <xf numFmtId="164" fontId="6" fillId="9" borderId="7" xfId="0" quotePrefix="1" applyNumberFormat="1" applyFont="1" applyFill="1" applyBorder="1" applyAlignment="1">
      <alignment horizontal="center" vertical="center" wrapText="1"/>
    </xf>
    <xf numFmtId="164" fontId="17" fillId="0" borderId="6" xfId="0" applyNumberFormat="1" applyFont="1" applyBorder="1" applyAlignment="1">
      <alignment vertical="center" wrapText="1"/>
    </xf>
    <xf numFmtId="164" fontId="17" fillId="0" borderId="7" xfId="0" quotePrefix="1" applyNumberFormat="1" applyFont="1" applyBorder="1" applyAlignment="1">
      <alignment horizontal="center" vertical="top" wrapText="1"/>
    </xf>
    <xf numFmtId="0" fontId="6" fillId="3" borderId="8" xfId="0" applyFont="1" applyFill="1" applyBorder="1" applyAlignment="1">
      <alignment vertical="center" wrapText="1"/>
    </xf>
    <xf numFmtId="164" fontId="10" fillId="3" borderId="9" xfId="0" quotePrefix="1" applyNumberFormat="1" applyFont="1" applyFill="1" applyBorder="1" applyAlignment="1">
      <alignment horizontal="center" vertical="top" wrapText="1"/>
    </xf>
    <xf numFmtId="0" fontId="6" fillId="0" borderId="6" xfId="0" applyFont="1" applyBorder="1" applyAlignment="1">
      <alignment vertical="center" wrapText="1"/>
    </xf>
    <xf numFmtId="0" fontId="6" fillId="0" borderId="8" xfId="0" applyFont="1" applyBorder="1" applyAlignment="1">
      <alignment vertical="center" wrapText="1"/>
    </xf>
    <xf numFmtId="1" fontId="1" fillId="2" borderId="0" xfId="0" applyNumberFormat="1" applyFont="1" applyFill="1" applyBorder="1" applyAlignment="1">
      <alignment horizontal="center"/>
    </xf>
    <xf numFmtId="2" fontId="22" fillId="7" borderId="6" xfId="0" applyNumberFormat="1" applyFont="1" applyFill="1" applyBorder="1" applyAlignment="1">
      <alignment horizontal="center"/>
    </xf>
    <xf numFmtId="0" fontId="6" fillId="5" borderId="6" xfId="0" applyFont="1" applyFill="1"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9" xfId="0" applyBorder="1" applyAlignment="1">
      <alignment vertical="center" wrapText="1"/>
    </xf>
    <xf numFmtId="0" fontId="6" fillId="5" borderId="0" xfId="0" applyFont="1" applyFill="1" applyAlignment="1">
      <alignment vertical="center" wrapText="1"/>
    </xf>
    <xf numFmtId="0" fontId="0" fillId="0" borderId="0" xfId="0" applyAlignment="1">
      <alignment vertical="center" wrapText="1"/>
    </xf>
    <xf numFmtId="0" fontId="16" fillId="6" borderId="4" xfId="0" applyFont="1" applyFill="1" applyBorder="1" applyAlignment="1">
      <alignment horizontal="center" vertical="center" wrapText="1"/>
    </xf>
    <xf numFmtId="0" fontId="0" fillId="6" borderId="2" xfId="0" applyFill="1" applyBorder="1" applyAlignment="1">
      <alignment horizontal="center" vertical="center" wrapText="1"/>
    </xf>
    <xf numFmtId="0" fontId="0" fillId="6" borderId="5" xfId="0" applyFill="1" applyBorder="1" applyAlignment="1">
      <alignment horizontal="center" vertical="center" wrapText="1"/>
    </xf>
    <xf numFmtId="0" fontId="6" fillId="5" borderId="0" xfId="0" applyFont="1" applyFill="1" applyBorder="1" applyAlignment="1">
      <alignment vertical="center" wrapText="1"/>
    </xf>
    <xf numFmtId="0" fontId="11" fillId="5" borderId="0" xfId="0" applyFont="1" applyFill="1" applyBorder="1" applyAlignment="1">
      <alignment vertical="center" wrapText="1"/>
    </xf>
    <xf numFmtId="0" fontId="0" fillId="5" borderId="0" xfId="0" applyFill="1" applyBorder="1" applyAlignment="1">
      <alignment vertical="center" wrapText="1"/>
    </xf>
    <xf numFmtId="0" fontId="11" fillId="5" borderId="0" xfId="0" applyFont="1" applyFill="1" applyAlignment="1">
      <alignment vertical="center" wrapText="1"/>
    </xf>
    <xf numFmtId="0" fontId="0" fillId="5" borderId="0" xfId="0" applyFill="1" applyAlignment="1">
      <alignment vertical="center" wrapText="1"/>
    </xf>
    <xf numFmtId="0" fontId="3" fillId="5" borderId="0" xfId="0" applyFont="1" applyFill="1" applyAlignment="1">
      <alignment vertical="center" wrapText="1"/>
    </xf>
    <xf numFmtId="0" fontId="3" fillId="0" borderId="0" xfId="0" applyFont="1" applyAlignment="1">
      <alignment vertical="center" wrapText="1"/>
    </xf>
    <xf numFmtId="2" fontId="22" fillId="7" borderId="6" xfId="0" applyNumberFormat="1" applyFont="1" applyFill="1" applyBorder="1" applyAlignment="1">
      <alignment horizontal="center" vertical="center" wrapText="1"/>
    </xf>
    <xf numFmtId="0" fontId="0" fillId="0" borderId="7"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Figure</a:t>
            </a:r>
            <a:r>
              <a:rPr lang="en-US" sz="1400" baseline="0"/>
              <a:t> 2-6    Sediment Bulking Factors as a Function of Development - Subbasins East of Four Hills Road</a:t>
            </a:r>
          </a:p>
        </c:rich>
      </c:tx>
      <c:overlay val="0"/>
    </c:title>
    <c:autoTitleDeleted val="0"/>
    <c:plotArea>
      <c:layout/>
      <c:scatterChart>
        <c:scatterStyle val="smoothMarker"/>
        <c:varyColors val="0"/>
        <c:ser>
          <c:idx val="0"/>
          <c:order val="0"/>
          <c:trendline>
            <c:trendlineType val="poly"/>
            <c:order val="2"/>
            <c:dispRSqr val="0"/>
            <c:dispEq val="1"/>
            <c:trendlineLbl>
              <c:layout>
                <c:manualLayout>
                  <c:x val="-0.15858245844269467"/>
                  <c:y val="2.2458442694663166E-2"/>
                </c:manualLayout>
              </c:layout>
              <c:numFmt formatCode="General" sourceLinked="0"/>
            </c:trendlineLbl>
          </c:trendline>
          <c:xVal>
            <c:numRef>
              <c:f>'East sediment bulking factors'!$B$11:$B$13</c:f>
              <c:numCache>
                <c:formatCode>General</c:formatCode>
                <c:ptCount val="3"/>
                <c:pt idx="0">
                  <c:v>0</c:v>
                </c:pt>
                <c:pt idx="1">
                  <c:v>50</c:v>
                </c:pt>
                <c:pt idx="2">
                  <c:v>100</c:v>
                </c:pt>
              </c:numCache>
            </c:numRef>
          </c:xVal>
          <c:yVal>
            <c:numRef>
              <c:f>'East sediment bulking factors'!$C$11:$C$13</c:f>
              <c:numCache>
                <c:formatCode>General</c:formatCode>
                <c:ptCount val="3"/>
                <c:pt idx="0">
                  <c:v>10</c:v>
                </c:pt>
                <c:pt idx="1">
                  <c:v>8</c:v>
                </c:pt>
                <c:pt idx="2">
                  <c:v>7</c:v>
                </c:pt>
              </c:numCache>
            </c:numRef>
          </c:yVal>
          <c:smooth val="1"/>
          <c:extLst>
            <c:ext xmlns:c16="http://schemas.microsoft.com/office/drawing/2014/chart" uri="{C3380CC4-5D6E-409C-BE32-E72D297353CC}">
              <c16:uniqueId val="{00000001-E53C-4F94-9425-FFBD1D76D1A1}"/>
            </c:ext>
          </c:extLst>
        </c:ser>
        <c:dLbls>
          <c:showLegendKey val="0"/>
          <c:showVal val="0"/>
          <c:showCatName val="0"/>
          <c:showSerName val="0"/>
          <c:showPercent val="0"/>
          <c:showBubbleSize val="0"/>
        </c:dLbls>
        <c:axId val="218412160"/>
        <c:axId val="218414080"/>
      </c:scatterChart>
      <c:valAx>
        <c:axId val="218412160"/>
        <c:scaling>
          <c:orientation val="minMax"/>
          <c:max val="100"/>
        </c:scaling>
        <c:delete val="0"/>
        <c:axPos val="b"/>
        <c:minorGridlines/>
        <c:title>
          <c:tx>
            <c:rich>
              <a:bodyPr/>
              <a:lstStyle/>
              <a:p>
                <a:pPr>
                  <a:defRPr/>
                </a:pPr>
                <a:r>
                  <a:rPr lang="en-US"/>
                  <a:t>Watershed Development Level  %</a:t>
                </a:r>
              </a:p>
            </c:rich>
          </c:tx>
          <c:overlay val="0"/>
        </c:title>
        <c:numFmt formatCode="General" sourceLinked="1"/>
        <c:majorTickMark val="out"/>
        <c:minorTickMark val="none"/>
        <c:tickLblPos val="nextTo"/>
        <c:crossAx val="218414080"/>
        <c:crosses val="autoZero"/>
        <c:crossBetween val="midCat"/>
      </c:valAx>
      <c:valAx>
        <c:axId val="218414080"/>
        <c:scaling>
          <c:orientation val="minMax"/>
        </c:scaling>
        <c:delete val="0"/>
        <c:axPos val="l"/>
        <c:minorGridlines/>
        <c:title>
          <c:tx>
            <c:rich>
              <a:bodyPr rot="-5400000" vert="horz"/>
              <a:lstStyle/>
              <a:p>
                <a:pPr>
                  <a:defRPr/>
                </a:pPr>
                <a:r>
                  <a:rPr lang="en-US"/>
                  <a:t>Sediment Bulking Factor %</a:t>
                </a:r>
              </a:p>
            </c:rich>
          </c:tx>
          <c:overlay val="0"/>
        </c:title>
        <c:numFmt formatCode="General" sourceLinked="1"/>
        <c:majorTickMark val="out"/>
        <c:minorTickMark val="none"/>
        <c:tickLblPos val="nextTo"/>
        <c:crossAx val="218412160"/>
        <c:crosses val="autoZero"/>
        <c:crossBetween val="midCat"/>
      </c:valAx>
    </c:plotArea>
    <c:legend>
      <c:legendPos val="r"/>
      <c:overlay val="0"/>
    </c:legend>
    <c:plotVisOnly val="1"/>
    <c:dispBlanksAs val="gap"/>
    <c:showDLblsOverMax val="0"/>
  </c:chart>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Figure</a:t>
            </a:r>
            <a:r>
              <a:rPr lang="en-US" sz="1400" baseline="0"/>
              <a:t> 2-5    Sediment Bulking Factors as a Function of Development - Subbasins West of Four Hills Road</a:t>
            </a:r>
            <a:endParaRPr lang="en-US" sz="1400"/>
          </a:p>
        </c:rich>
      </c:tx>
      <c:overlay val="0"/>
    </c:title>
    <c:autoTitleDeleted val="0"/>
    <c:plotArea>
      <c:layout/>
      <c:scatterChart>
        <c:scatterStyle val="smoothMarker"/>
        <c:varyColors val="0"/>
        <c:ser>
          <c:idx val="0"/>
          <c:order val="0"/>
          <c:trendline>
            <c:trendlineType val="poly"/>
            <c:order val="2"/>
            <c:dispRSqr val="0"/>
            <c:dispEq val="1"/>
            <c:trendlineLbl>
              <c:layout>
                <c:manualLayout>
                  <c:x val="-0.15858245844269467"/>
                  <c:y val="2.2458442694663166E-2"/>
                </c:manualLayout>
              </c:layout>
              <c:numFmt formatCode="General" sourceLinked="0"/>
            </c:trendlineLbl>
          </c:trendline>
          <c:xVal>
            <c:numRef>
              <c:f>'West sediment bulking factors'!$B$11:$B$13</c:f>
              <c:numCache>
                <c:formatCode>General</c:formatCode>
                <c:ptCount val="3"/>
                <c:pt idx="0">
                  <c:v>0</c:v>
                </c:pt>
                <c:pt idx="1">
                  <c:v>50</c:v>
                </c:pt>
                <c:pt idx="2">
                  <c:v>100</c:v>
                </c:pt>
              </c:numCache>
            </c:numRef>
          </c:xVal>
          <c:yVal>
            <c:numRef>
              <c:f>'West sediment bulking factors'!$C$11:$C$13</c:f>
              <c:numCache>
                <c:formatCode>General</c:formatCode>
                <c:ptCount val="3"/>
                <c:pt idx="0">
                  <c:v>17</c:v>
                </c:pt>
                <c:pt idx="1">
                  <c:v>11</c:v>
                </c:pt>
                <c:pt idx="2">
                  <c:v>7</c:v>
                </c:pt>
              </c:numCache>
            </c:numRef>
          </c:yVal>
          <c:smooth val="1"/>
          <c:extLst>
            <c:ext xmlns:c16="http://schemas.microsoft.com/office/drawing/2014/chart" uri="{C3380CC4-5D6E-409C-BE32-E72D297353CC}">
              <c16:uniqueId val="{00000001-45CC-4109-B74A-B0AB470F7351}"/>
            </c:ext>
          </c:extLst>
        </c:ser>
        <c:dLbls>
          <c:showLegendKey val="0"/>
          <c:showVal val="0"/>
          <c:showCatName val="0"/>
          <c:showSerName val="0"/>
          <c:showPercent val="0"/>
          <c:showBubbleSize val="0"/>
        </c:dLbls>
        <c:axId val="232821504"/>
        <c:axId val="232823424"/>
      </c:scatterChart>
      <c:valAx>
        <c:axId val="232821504"/>
        <c:scaling>
          <c:orientation val="minMax"/>
          <c:max val="100"/>
        </c:scaling>
        <c:delete val="0"/>
        <c:axPos val="b"/>
        <c:minorGridlines/>
        <c:title>
          <c:tx>
            <c:rich>
              <a:bodyPr/>
              <a:lstStyle/>
              <a:p>
                <a:pPr>
                  <a:defRPr/>
                </a:pPr>
                <a:r>
                  <a:rPr lang="en-US"/>
                  <a:t>Watershed Development Level  %</a:t>
                </a:r>
              </a:p>
            </c:rich>
          </c:tx>
          <c:overlay val="0"/>
        </c:title>
        <c:numFmt formatCode="General" sourceLinked="1"/>
        <c:majorTickMark val="out"/>
        <c:minorTickMark val="none"/>
        <c:tickLblPos val="nextTo"/>
        <c:crossAx val="232823424"/>
        <c:crosses val="autoZero"/>
        <c:crossBetween val="midCat"/>
      </c:valAx>
      <c:valAx>
        <c:axId val="232823424"/>
        <c:scaling>
          <c:orientation val="minMax"/>
        </c:scaling>
        <c:delete val="0"/>
        <c:axPos val="l"/>
        <c:minorGridlines/>
        <c:title>
          <c:tx>
            <c:rich>
              <a:bodyPr rot="-5400000" vert="horz"/>
              <a:lstStyle/>
              <a:p>
                <a:pPr>
                  <a:defRPr/>
                </a:pPr>
                <a:r>
                  <a:rPr lang="en-US"/>
                  <a:t>Sediment Bulking Factor %</a:t>
                </a:r>
              </a:p>
            </c:rich>
          </c:tx>
          <c:overlay val="0"/>
        </c:title>
        <c:numFmt formatCode="General" sourceLinked="1"/>
        <c:majorTickMark val="out"/>
        <c:minorTickMark val="none"/>
        <c:tickLblPos val="nextTo"/>
        <c:crossAx val="232821504"/>
        <c:crosses val="autoZero"/>
        <c:crossBetween val="midCat"/>
      </c:valAx>
    </c:plotArea>
    <c:legend>
      <c:legendPos val="r"/>
      <c:overlay val="0"/>
    </c:legend>
    <c:plotVisOnly val="1"/>
    <c:dispBlanksAs val="gap"/>
    <c:showDLblsOverMax val="0"/>
  </c:chart>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19049</xdr:colOff>
      <xdr:row>6</xdr:row>
      <xdr:rowOff>157161</xdr:rowOff>
    </xdr:from>
    <xdr:to>
      <xdr:col>12</xdr:col>
      <xdr:colOff>600074</xdr:colOff>
      <xdr:row>21</xdr:row>
      <xdr:rowOff>104774</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19049</xdr:colOff>
      <xdr:row>6</xdr:row>
      <xdr:rowOff>157161</xdr:rowOff>
    </xdr:from>
    <xdr:to>
      <xdr:col>12</xdr:col>
      <xdr:colOff>600074</xdr:colOff>
      <xdr:row>21</xdr:row>
      <xdr:rowOff>104774</xdr:rowOff>
    </xdr:to>
    <xdr:graphicFrame macro="">
      <xdr:nvGraphicFramePr>
        <xdr:cNvPr id="3" name="Chart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7"/>
  <sheetViews>
    <sheetView zoomScale="110" zoomScaleNormal="110" workbookViewId="0">
      <selection activeCell="Z10" sqref="Z10"/>
    </sheetView>
  </sheetViews>
  <sheetFormatPr defaultRowHeight="12.75" x14ac:dyDescent="0.2"/>
  <cols>
    <col min="1" max="1" width="20.7109375" style="65" customWidth="1"/>
    <col min="2" max="2" width="4.7109375" style="76" customWidth="1"/>
    <col min="3" max="3" width="5.5703125" style="76" customWidth="1"/>
    <col min="4" max="4" width="12" style="65" customWidth="1"/>
    <col min="5" max="5" width="10" style="65" hidden="1" customWidth="1"/>
    <col min="6" max="6" width="9.28515625" style="65" hidden="1" customWidth="1"/>
    <col min="7" max="7" width="10.42578125" style="65" hidden="1" customWidth="1"/>
    <col min="8" max="8" width="9.28515625" style="76" hidden="1" customWidth="1"/>
    <col min="9" max="9" width="9.28515625" style="65" hidden="1" customWidth="1"/>
    <col min="10" max="10" width="10.42578125" style="116" hidden="1" customWidth="1"/>
    <col min="11" max="11" width="9.28515625" style="116" hidden="1" customWidth="1"/>
    <col min="12" max="12" width="10.5703125" style="116" hidden="1" customWidth="1"/>
    <col min="13" max="13" width="9.28515625" style="65" hidden="1" customWidth="1"/>
    <col min="14" max="15" width="10.140625" style="65" hidden="1" customWidth="1"/>
    <col min="16" max="19" width="9.28515625" style="65" hidden="1" customWidth="1"/>
    <col min="20" max="22" width="9.28515625" style="86" hidden="1" customWidth="1"/>
    <col min="23" max="24" width="0" style="65" hidden="1" customWidth="1"/>
    <col min="25" max="16384" width="9.140625" style="65"/>
  </cols>
  <sheetData>
    <row r="1" spans="1:22" ht="15.75" x14ac:dyDescent="0.2">
      <c r="A1" s="216" t="s">
        <v>247</v>
      </c>
      <c r="B1" s="217"/>
      <c r="C1" s="217"/>
      <c r="D1" s="407"/>
      <c r="E1" s="131"/>
      <c r="F1" s="131"/>
      <c r="G1" s="131"/>
      <c r="H1" s="132"/>
      <c r="I1" s="132"/>
      <c r="J1" s="133"/>
      <c r="K1" s="133"/>
      <c r="L1" s="133"/>
      <c r="M1" s="132"/>
      <c r="N1" s="132"/>
      <c r="O1" s="132"/>
      <c r="P1" s="132"/>
      <c r="Q1" s="132"/>
      <c r="R1" s="132"/>
      <c r="S1" s="132"/>
      <c r="T1" s="134" t="s">
        <v>13</v>
      </c>
      <c r="U1" s="134" t="s">
        <v>13</v>
      </c>
      <c r="V1" s="134"/>
    </row>
    <row r="2" spans="1:22" ht="4.5" customHeight="1" x14ac:dyDescent="0.2">
      <c r="A2" s="408"/>
      <c r="B2" s="409"/>
      <c r="C2" s="409"/>
      <c r="D2" s="410"/>
      <c r="E2" s="131"/>
      <c r="F2" s="131"/>
      <c r="G2" s="131"/>
      <c r="H2" s="132"/>
      <c r="I2" s="132"/>
      <c r="J2" s="133"/>
      <c r="K2" s="133"/>
      <c r="L2" s="133"/>
      <c r="M2" s="132"/>
      <c r="N2" s="132"/>
      <c r="O2" s="132"/>
      <c r="P2" s="132"/>
      <c r="Q2" s="132"/>
      <c r="R2" s="132"/>
      <c r="S2" s="132"/>
      <c r="T2" s="134"/>
      <c r="U2" s="134"/>
      <c r="V2" s="134"/>
    </row>
    <row r="3" spans="1:22" ht="15.75" x14ac:dyDescent="0.2">
      <c r="A3" s="411" t="s">
        <v>248</v>
      </c>
      <c r="B3" s="409"/>
      <c r="C3" s="409"/>
      <c r="D3" s="410"/>
      <c r="E3" s="131"/>
      <c r="F3" s="131"/>
      <c r="G3" s="131"/>
      <c r="H3" s="132"/>
      <c r="I3" s="132"/>
      <c r="J3" s="133"/>
      <c r="K3" s="133"/>
      <c r="L3" s="133"/>
      <c r="M3" s="132"/>
      <c r="N3" s="132"/>
      <c r="O3" s="132"/>
      <c r="P3" s="132"/>
      <c r="Q3" s="132"/>
      <c r="R3" s="132"/>
      <c r="S3" s="132"/>
      <c r="T3" s="134"/>
      <c r="U3" s="134"/>
      <c r="V3" s="134"/>
    </row>
    <row r="4" spans="1:22" ht="8.25" customHeight="1" x14ac:dyDescent="0.2">
      <c r="A4" s="408" t="s">
        <v>13</v>
      </c>
      <c r="B4" s="409"/>
      <c r="C4" s="409"/>
      <c r="D4" s="410"/>
      <c r="E4" s="131"/>
      <c r="F4" s="131"/>
      <c r="G4" s="131"/>
      <c r="H4" s="132"/>
      <c r="I4" s="132"/>
      <c r="J4" s="133"/>
      <c r="K4" s="133"/>
      <c r="L4" s="133"/>
      <c r="M4" s="132"/>
      <c r="N4" s="132"/>
      <c r="O4" s="132"/>
      <c r="P4" s="132"/>
      <c r="Q4" s="132"/>
      <c r="R4" s="132"/>
      <c r="S4" s="132"/>
      <c r="T4" s="134"/>
      <c r="U4" s="134"/>
      <c r="V4" s="134"/>
    </row>
    <row r="5" spans="1:22" ht="15.75" hidden="1" x14ac:dyDescent="0.2">
      <c r="A5" s="412"/>
      <c r="B5" s="153"/>
      <c r="C5" s="153"/>
      <c r="D5" s="413"/>
      <c r="E5" s="404" t="s">
        <v>225</v>
      </c>
      <c r="F5" s="378"/>
      <c r="G5" s="381"/>
      <c r="H5" s="381"/>
      <c r="I5" s="381"/>
      <c r="J5" s="385"/>
      <c r="K5" s="385"/>
      <c r="L5" s="385"/>
      <c r="M5" s="378"/>
      <c r="N5" s="386"/>
      <c r="O5" s="378"/>
      <c r="P5" s="378"/>
      <c r="Q5" s="378"/>
      <c r="R5" s="378"/>
      <c r="S5" s="378"/>
      <c r="T5" s="382"/>
      <c r="U5" s="382"/>
      <c r="V5" s="383"/>
    </row>
    <row r="6" spans="1:22" ht="94.5" hidden="1" customHeight="1" x14ac:dyDescent="0.2">
      <c r="A6" s="408"/>
      <c r="B6" s="414"/>
      <c r="C6" s="414"/>
      <c r="D6" s="262" t="s">
        <v>222</v>
      </c>
      <c r="E6" s="222" t="s">
        <v>152</v>
      </c>
      <c r="F6" s="236" t="s">
        <v>206</v>
      </c>
      <c r="G6" s="379" t="s">
        <v>176</v>
      </c>
      <c r="H6" s="380" t="s">
        <v>164</v>
      </c>
      <c r="I6" s="379" t="s">
        <v>165</v>
      </c>
      <c r="J6" s="220" t="s">
        <v>157</v>
      </c>
      <c r="K6" s="236" t="s">
        <v>177</v>
      </c>
      <c r="L6" s="222" t="s">
        <v>178</v>
      </c>
      <c r="M6" s="220" t="s">
        <v>166</v>
      </c>
      <c r="N6" s="222" t="s">
        <v>167</v>
      </c>
      <c r="O6" s="222" t="s">
        <v>168</v>
      </c>
      <c r="P6" s="222" t="s">
        <v>169</v>
      </c>
      <c r="Q6" s="220" t="s">
        <v>170</v>
      </c>
      <c r="R6" s="236" t="s">
        <v>209</v>
      </c>
      <c r="S6" s="225" t="s">
        <v>210</v>
      </c>
      <c r="T6" s="220" t="s">
        <v>162</v>
      </c>
      <c r="U6" s="236" t="s">
        <v>179</v>
      </c>
      <c r="V6" s="225" t="s">
        <v>180</v>
      </c>
    </row>
    <row r="7" spans="1:22" ht="67.5" customHeight="1" x14ac:dyDescent="0.2">
      <c r="A7" s="415" t="s">
        <v>250</v>
      </c>
      <c r="B7" s="397" t="s">
        <v>142</v>
      </c>
      <c r="C7" s="397" t="s">
        <v>131</v>
      </c>
      <c r="D7" s="398" t="s">
        <v>184</v>
      </c>
      <c r="E7" s="87" t="s">
        <v>143</v>
      </c>
      <c r="F7" s="87" t="s">
        <v>143</v>
      </c>
      <c r="G7" s="87" t="s">
        <v>143</v>
      </c>
      <c r="H7" s="147" t="s">
        <v>143</v>
      </c>
      <c r="I7" s="87" t="s">
        <v>134</v>
      </c>
      <c r="J7" s="147" t="s">
        <v>143</v>
      </c>
      <c r="K7" s="87" t="s">
        <v>143</v>
      </c>
      <c r="L7" s="87" t="s">
        <v>143</v>
      </c>
      <c r="M7" s="147" t="s">
        <v>143</v>
      </c>
      <c r="N7" s="87" t="s">
        <v>143</v>
      </c>
      <c r="O7" s="87" t="s">
        <v>143</v>
      </c>
      <c r="P7" s="87" t="s">
        <v>143</v>
      </c>
      <c r="Q7" s="147" t="s">
        <v>143</v>
      </c>
      <c r="R7" s="376" t="s">
        <v>143</v>
      </c>
      <c r="S7" s="166" t="s">
        <v>143</v>
      </c>
      <c r="T7" s="147" t="s">
        <v>143</v>
      </c>
      <c r="U7" s="376" t="s">
        <v>143</v>
      </c>
      <c r="V7" s="166" t="s">
        <v>143</v>
      </c>
    </row>
    <row r="8" spans="1:22" x14ac:dyDescent="0.2">
      <c r="A8" s="416"/>
      <c r="B8" s="376"/>
      <c r="C8" s="376"/>
      <c r="D8" s="399"/>
      <c r="E8" s="87" t="s">
        <v>12</v>
      </c>
      <c r="F8" s="87" t="s">
        <v>12</v>
      </c>
      <c r="G8" s="87" t="s">
        <v>12</v>
      </c>
      <c r="H8" s="147" t="s">
        <v>12</v>
      </c>
      <c r="I8" s="87" t="s">
        <v>12</v>
      </c>
      <c r="J8" s="147" t="s">
        <v>12</v>
      </c>
      <c r="K8" s="87" t="s">
        <v>12</v>
      </c>
      <c r="L8" s="87" t="s">
        <v>12</v>
      </c>
      <c r="M8" s="147" t="s">
        <v>12</v>
      </c>
      <c r="N8" s="87" t="s">
        <v>12</v>
      </c>
      <c r="O8" s="87" t="s">
        <v>12</v>
      </c>
      <c r="P8" s="87" t="s">
        <v>12</v>
      </c>
      <c r="Q8" s="147" t="s">
        <v>12</v>
      </c>
      <c r="R8" s="376" t="s">
        <v>12</v>
      </c>
      <c r="S8" s="166" t="s">
        <v>12</v>
      </c>
      <c r="T8" s="147" t="s">
        <v>12</v>
      </c>
      <c r="U8" s="376" t="s">
        <v>12</v>
      </c>
      <c r="V8" s="166" t="s">
        <v>12</v>
      </c>
    </row>
    <row r="9" spans="1:22" x14ac:dyDescent="0.2">
      <c r="A9" s="417"/>
      <c r="B9" s="377"/>
      <c r="C9" s="377"/>
      <c r="D9" s="400" t="s">
        <v>63</v>
      </c>
      <c r="E9" s="74" t="s">
        <v>136</v>
      </c>
      <c r="F9" s="74" t="s">
        <v>224</v>
      </c>
      <c r="G9" s="74" t="s">
        <v>136</v>
      </c>
      <c r="H9" s="75" t="s">
        <v>136</v>
      </c>
      <c r="I9" s="74" t="s">
        <v>136</v>
      </c>
      <c r="J9" s="75" t="s">
        <v>136</v>
      </c>
      <c r="K9" s="74" t="s">
        <v>224</v>
      </c>
      <c r="L9" s="74" t="s">
        <v>136</v>
      </c>
      <c r="M9" s="75" t="s">
        <v>136</v>
      </c>
      <c r="N9" s="74" t="s">
        <v>136</v>
      </c>
      <c r="O9" s="74" t="s">
        <v>136</v>
      </c>
      <c r="P9" s="74" t="s">
        <v>136</v>
      </c>
      <c r="Q9" s="75" t="s">
        <v>136</v>
      </c>
      <c r="R9" s="377" t="s">
        <v>224</v>
      </c>
      <c r="S9" s="79" t="s">
        <v>136</v>
      </c>
      <c r="T9" s="75" t="s">
        <v>136</v>
      </c>
      <c r="U9" s="377" t="s">
        <v>224</v>
      </c>
      <c r="V9" s="79" t="s">
        <v>136</v>
      </c>
    </row>
    <row r="10" spans="1:22" x14ac:dyDescent="0.2">
      <c r="A10" s="418" t="s">
        <v>107</v>
      </c>
      <c r="B10" s="419" t="s">
        <v>62</v>
      </c>
      <c r="C10" s="419" t="s">
        <v>12</v>
      </c>
      <c r="D10" s="401">
        <v>80</v>
      </c>
      <c r="E10" s="183">
        <v>0</v>
      </c>
      <c r="F10" s="183">
        <v>0</v>
      </c>
      <c r="G10" s="196" t="s">
        <v>117</v>
      </c>
      <c r="H10" s="182">
        <v>0</v>
      </c>
      <c r="I10" s="183">
        <v>0</v>
      </c>
      <c r="J10" s="182">
        <v>5</v>
      </c>
      <c r="K10" s="183">
        <v>0</v>
      </c>
      <c r="L10" s="196" t="s">
        <v>117</v>
      </c>
      <c r="M10" s="182">
        <v>5</v>
      </c>
      <c r="N10" s="183">
        <v>1</v>
      </c>
      <c r="O10" s="183">
        <v>0</v>
      </c>
      <c r="P10" s="183">
        <v>0</v>
      </c>
      <c r="Q10" s="182">
        <v>0</v>
      </c>
      <c r="R10" s="268">
        <v>6.938851952430003</v>
      </c>
      <c r="S10" s="226" t="s">
        <v>117</v>
      </c>
      <c r="T10" s="182">
        <v>0</v>
      </c>
      <c r="U10" s="268">
        <v>24.053814311058545</v>
      </c>
      <c r="V10" s="226" t="s">
        <v>117</v>
      </c>
    </row>
    <row r="11" spans="1:22" x14ac:dyDescent="0.2">
      <c r="A11" s="418" t="s">
        <v>108</v>
      </c>
      <c r="B11" s="419" t="s">
        <v>62</v>
      </c>
      <c r="C11" s="419" t="s">
        <v>12</v>
      </c>
      <c r="D11" s="401">
        <v>90</v>
      </c>
      <c r="E11" s="183">
        <v>0</v>
      </c>
      <c r="F11" s="183">
        <v>19.2</v>
      </c>
      <c r="G11" s="196" t="s">
        <v>117</v>
      </c>
      <c r="H11" s="182">
        <v>7</v>
      </c>
      <c r="I11" s="183">
        <v>12</v>
      </c>
      <c r="J11" s="182">
        <v>0</v>
      </c>
      <c r="K11" s="183">
        <v>0</v>
      </c>
      <c r="L11" s="196" t="s">
        <v>117</v>
      </c>
      <c r="M11" s="182">
        <v>0</v>
      </c>
      <c r="N11" s="183">
        <v>0</v>
      </c>
      <c r="O11" s="183">
        <v>5</v>
      </c>
      <c r="P11" s="183">
        <v>25</v>
      </c>
      <c r="Q11" s="182">
        <v>18</v>
      </c>
      <c r="R11" s="268">
        <v>0.88959640415769248</v>
      </c>
      <c r="S11" s="226" t="s">
        <v>117</v>
      </c>
      <c r="T11" s="182">
        <v>3</v>
      </c>
      <c r="U11" s="268">
        <v>9.6318746303962151</v>
      </c>
      <c r="V11" s="226" t="s">
        <v>117</v>
      </c>
    </row>
    <row r="12" spans="1:22" x14ac:dyDescent="0.2">
      <c r="A12" s="418" t="s">
        <v>109</v>
      </c>
      <c r="B12" s="419" t="s">
        <v>62</v>
      </c>
      <c r="C12" s="419" t="s">
        <v>12</v>
      </c>
      <c r="D12" s="401">
        <v>70</v>
      </c>
      <c r="E12" s="183">
        <v>0</v>
      </c>
      <c r="F12" s="183">
        <v>0</v>
      </c>
      <c r="G12" s="196" t="s">
        <v>117</v>
      </c>
      <c r="H12" s="182">
        <v>0</v>
      </c>
      <c r="I12" s="183">
        <v>0</v>
      </c>
      <c r="J12" s="182">
        <v>0</v>
      </c>
      <c r="K12" s="183">
        <v>0</v>
      </c>
      <c r="L12" s="196" t="s">
        <v>117</v>
      </c>
      <c r="M12" s="182">
        <v>0</v>
      </c>
      <c r="N12" s="183">
        <v>0</v>
      </c>
      <c r="O12" s="183">
        <v>0</v>
      </c>
      <c r="P12" s="183">
        <v>0</v>
      </c>
      <c r="Q12" s="182">
        <v>0</v>
      </c>
      <c r="R12" s="268">
        <v>0</v>
      </c>
      <c r="S12" s="226" t="s">
        <v>117</v>
      </c>
      <c r="T12" s="182">
        <v>0</v>
      </c>
      <c r="U12" s="268">
        <v>9.2068302779420463</v>
      </c>
      <c r="V12" s="226" t="s">
        <v>117</v>
      </c>
    </row>
    <row r="13" spans="1:22" x14ac:dyDescent="0.2">
      <c r="A13" s="418" t="s">
        <v>204</v>
      </c>
      <c r="B13" s="419" t="s">
        <v>62</v>
      </c>
      <c r="C13" s="419" t="s">
        <v>12</v>
      </c>
      <c r="D13" s="401">
        <v>57</v>
      </c>
      <c r="E13" s="183">
        <v>1</v>
      </c>
      <c r="F13" s="183">
        <v>0</v>
      </c>
      <c r="G13" s="196" t="s">
        <v>117</v>
      </c>
      <c r="H13" s="182">
        <v>50</v>
      </c>
      <c r="I13" s="183">
        <v>60</v>
      </c>
      <c r="J13" s="182">
        <v>40</v>
      </c>
      <c r="K13" s="183">
        <v>100</v>
      </c>
      <c r="L13" s="196" t="s">
        <v>117</v>
      </c>
      <c r="M13" s="182">
        <v>0</v>
      </c>
      <c r="N13" s="183">
        <v>0</v>
      </c>
      <c r="O13" s="183">
        <v>0</v>
      </c>
      <c r="P13" s="183">
        <v>0</v>
      </c>
      <c r="Q13" s="182">
        <v>0</v>
      </c>
      <c r="R13" s="268">
        <v>75.699971907481981</v>
      </c>
      <c r="S13" s="226" t="s">
        <v>117</v>
      </c>
      <c r="T13" s="182">
        <v>0</v>
      </c>
      <c r="U13" s="268">
        <v>46.437019515079839</v>
      </c>
      <c r="V13" s="226" t="s">
        <v>117</v>
      </c>
    </row>
    <row r="14" spans="1:22" x14ac:dyDescent="0.2">
      <c r="A14" s="418" t="s">
        <v>205</v>
      </c>
      <c r="B14" s="419" t="s">
        <v>62</v>
      </c>
      <c r="C14" s="419" t="s">
        <v>12</v>
      </c>
      <c r="D14" s="401">
        <v>17</v>
      </c>
      <c r="E14" s="183">
        <v>0</v>
      </c>
      <c r="F14" s="183">
        <v>80.8</v>
      </c>
      <c r="G14" s="196" t="s">
        <v>117</v>
      </c>
      <c r="H14" s="182">
        <v>0</v>
      </c>
      <c r="I14" s="183">
        <v>0</v>
      </c>
      <c r="J14" s="182">
        <v>0</v>
      </c>
      <c r="K14" s="183">
        <v>0</v>
      </c>
      <c r="L14" s="196" t="s">
        <v>117</v>
      </c>
      <c r="M14" s="182">
        <v>0</v>
      </c>
      <c r="N14" s="183">
        <v>0</v>
      </c>
      <c r="O14" s="183">
        <v>0</v>
      </c>
      <c r="P14" s="183">
        <v>0</v>
      </c>
      <c r="Q14" s="182">
        <v>0</v>
      </c>
      <c r="R14" s="268">
        <v>0</v>
      </c>
      <c r="S14" s="226" t="s">
        <v>117</v>
      </c>
      <c r="T14" s="182">
        <v>0</v>
      </c>
      <c r="U14" s="268">
        <v>0</v>
      </c>
      <c r="V14" s="226" t="s">
        <v>117</v>
      </c>
    </row>
    <row r="15" spans="1:22" x14ac:dyDescent="0.2">
      <c r="A15" s="418" t="s">
        <v>111</v>
      </c>
      <c r="B15" s="419" t="s">
        <v>62</v>
      </c>
      <c r="C15" s="419" t="s">
        <v>12</v>
      </c>
      <c r="D15" s="401">
        <v>7</v>
      </c>
      <c r="E15" s="183">
        <v>0</v>
      </c>
      <c r="F15" s="183">
        <v>0</v>
      </c>
      <c r="G15" s="196" t="s">
        <v>117</v>
      </c>
      <c r="H15" s="182">
        <v>0</v>
      </c>
      <c r="I15" s="183">
        <v>8</v>
      </c>
      <c r="J15" s="182">
        <v>3</v>
      </c>
      <c r="K15" s="183">
        <v>0</v>
      </c>
      <c r="L15" s="196" t="s">
        <v>117</v>
      </c>
      <c r="M15" s="182">
        <v>0</v>
      </c>
      <c r="N15" s="183">
        <v>0</v>
      </c>
      <c r="O15" s="183">
        <v>5</v>
      </c>
      <c r="P15" s="183">
        <v>0</v>
      </c>
      <c r="Q15" s="182">
        <v>0</v>
      </c>
      <c r="R15" s="268">
        <v>0</v>
      </c>
      <c r="S15" s="226" t="s">
        <v>117</v>
      </c>
      <c r="T15" s="182">
        <v>1</v>
      </c>
      <c r="U15" s="268">
        <v>0.95727380248373739</v>
      </c>
      <c r="V15" s="226" t="s">
        <v>117</v>
      </c>
    </row>
    <row r="16" spans="1:22" x14ac:dyDescent="0.2">
      <c r="A16" s="418" t="s">
        <v>112</v>
      </c>
      <c r="B16" s="419" t="s">
        <v>193</v>
      </c>
      <c r="C16" s="419" t="s">
        <v>12</v>
      </c>
      <c r="D16" s="401">
        <v>90</v>
      </c>
      <c r="E16" s="183">
        <v>1</v>
      </c>
      <c r="F16" s="183">
        <v>0</v>
      </c>
      <c r="G16" s="196" t="s">
        <v>117</v>
      </c>
      <c r="H16" s="182">
        <v>0</v>
      </c>
      <c r="I16" s="183">
        <v>0</v>
      </c>
      <c r="J16" s="182">
        <v>0</v>
      </c>
      <c r="K16" s="183">
        <v>0</v>
      </c>
      <c r="L16" s="196" t="s">
        <v>117</v>
      </c>
      <c r="M16" s="182">
        <v>0</v>
      </c>
      <c r="N16" s="183">
        <v>0</v>
      </c>
      <c r="O16" s="183">
        <v>0</v>
      </c>
      <c r="P16" s="183">
        <v>0</v>
      </c>
      <c r="Q16" s="182">
        <v>0</v>
      </c>
      <c r="R16" s="268">
        <v>0</v>
      </c>
      <c r="S16" s="226" t="s">
        <v>117</v>
      </c>
      <c r="T16" s="182">
        <v>1</v>
      </c>
      <c r="U16" s="268">
        <v>0.861176818450621</v>
      </c>
      <c r="V16" s="226" t="s">
        <v>117</v>
      </c>
    </row>
    <row r="17" spans="1:22" x14ac:dyDescent="0.2">
      <c r="A17" s="417" t="s">
        <v>220</v>
      </c>
      <c r="B17" s="402" t="s">
        <v>193</v>
      </c>
      <c r="C17" s="403" t="s">
        <v>12</v>
      </c>
      <c r="D17" s="400">
        <v>0</v>
      </c>
      <c r="E17" s="186">
        <v>98</v>
      </c>
      <c r="F17" s="186">
        <v>0</v>
      </c>
      <c r="G17" s="196" t="s">
        <v>117</v>
      </c>
      <c r="H17" s="185">
        <v>43</v>
      </c>
      <c r="I17" s="186">
        <v>20</v>
      </c>
      <c r="J17" s="185">
        <v>52</v>
      </c>
      <c r="K17" s="186">
        <v>0</v>
      </c>
      <c r="L17" s="196" t="s">
        <v>117</v>
      </c>
      <c r="M17" s="185">
        <v>95</v>
      </c>
      <c r="N17" s="186">
        <v>99</v>
      </c>
      <c r="O17" s="186">
        <v>90</v>
      </c>
      <c r="P17" s="186">
        <v>75</v>
      </c>
      <c r="Q17" s="185">
        <v>82</v>
      </c>
      <c r="R17" s="268">
        <v>16.47157973593033</v>
      </c>
      <c r="S17" s="226" t="s">
        <v>117</v>
      </c>
      <c r="T17" s="185">
        <v>95</v>
      </c>
      <c r="U17" s="268">
        <v>8.8520106445890008</v>
      </c>
      <c r="V17" s="226" t="s">
        <v>117</v>
      </c>
    </row>
    <row r="18" spans="1:22" hidden="1" x14ac:dyDescent="0.2">
      <c r="A18" s="420"/>
      <c r="B18" s="190"/>
      <c r="C18" s="191"/>
      <c r="D18" s="187" t="s">
        <v>144</v>
      </c>
      <c r="E18" s="189">
        <f>SUM(E10:E17)</f>
        <v>100</v>
      </c>
      <c r="F18" s="189">
        <f t="shared" ref="F18" si="0">SUM(F10:F17)</f>
        <v>100</v>
      </c>
      <c r="G18" s="197" t="s">
        <v>117</v>
      </c>
      <c r="H18" s="188">
        <f>SUM(H10:H17)</f>
        <v>100</v>
      </c>
      <c r="I18" s="189">
        <f t="shared" ref="I18:R18" si="1">SUM(I10:I17)</f>
        <v>100</v>
      </c>
      <c r="J18" s="188">
        <f t="shared" si="1"/>
        <v>100</v>
      </c>
      <c r="K18" s="189">
        <f t="shared" si="1"/>
        <v>100</v>
      </c>
      <c r="L18" s="197" t="s">
        <v>117</v>
      </c>
      <c r="M18" s="188">
        <f t="shared" si="1"/>
        <v>100</v>
      </c>
      <c r="N18" s="189">
        <f t="shared" si="1"/>
        <v>100</v>
      </c>
      <c r="O18" s="189">
        <f t="shared" si="1"/>
        <v>100</v>
      </c>
      <c r="P18" s="189">
        <f t="shared" si="1"/>
        <v>100</v>
      </c>
      <c r="Q18" s="188">
        <f t="shared" si="1"/>
        <v>100</v>
      </c>
      <c r="R18" s="189">
        <f t="shared" si="1"/>
        <v>100.00000000000001</v>
      </c>
      <c r="S18" s="227" t="s">
        <v>117</v>
      </c>
      <c r="T18" s="188">
        <f t="shared" ref="T18:U18" si="2">SUM(T10:T17)</f>
        <v>100</v>
      </c>
      <c r="U18" s="189">
        <f t="shared" si="2"/>
        <v>100</v>
      </c>
      <c r="V18" s="227" t="s">
        <v>117</v>
      </c>
    </row>
    <row r="19" spans="1:22" ht="38.25" hidden="1" x14ac:dyDescent="0.2">
      <c r="A19" s="421" t="s">
        <v>115</v>
      </c>
      <c r="B19" s="325" t="s">
        <v>218</v>
      </c>
      <c r="C19" s="326" t="s">
        <v>12</v>
      </c>
      <c r="D19" s="422" t="s">
        <v>135</v>
      </c>
      <c r="E19" s="361">
        <v>17</v>
      </c>
      <c r="F19" s="329">
        <f>($D$10*F10+$D$11*F11+$D$12*F12+$D$13*F13+$D$14*F14+$D$15*F15+$D$16*F16+$D$17*F17)/F18</f>
        <v>31.015999999999998</v>
      </c>
      <c r="G19" s="329">
        <f>(E19*E25+F19*F25)/G25</f>
        <v>20.423741404406965</v>
      </c>
      <c r="H19" s="328">
        <f>($D$10*H10+$D$11*H11+$D$12*H12+$D$13*H13+$D$14*H14+$D$15*H15+$D$16*H16+$D$17*H17)/H18</f>
        <v>34.799999999999997</v>
      </c>
      <c r="I19" s="329">
        <f>($D$10*I10+$D$11*I11+$D$12*I12+$D$13*I13+$D$14*I14+$D$15*I15+$D$16*I16+$D$17*I17)/I18</f>
        <v>45.56</v>
      </c>
      <c r="J19" s="328">
        <f>($D$10*J10+$D$11*J11+$D$12*J12+$D$13*J13+$D$14*J14+$D$15*J15+$D$16*J16+$D$17*J17)/J18</f>
        <v>27.01</v>
      </c>
      <c r="K19" s="329">
        <f>($D$10*K10+$D$11*K11+$D$12*K12+$D$13*K13+$D$14*K14+$D$15*K15+$D$16*K16+$D$17*K17)/K18</f>
        <v>57</v>
      </c>
      <c r="L19" s="329">
        <f>(J19*J25+K19*K25)/L25</f>
        <v>28.732344937268074</v>
      </c>
      <c r="M19" s="328">
        <f t="shared" ref="M19:R19" si="3">($D$10*M10+$D$11*M11+$D$12*M12+$D$13*M13+$D$14*M14+$D$15*M15+$D$16*M16+$D$17*M17)/M18</f>
        <v>4</v>
      </c>
      <c r="N19" s="361">
        <v>25</v>
      </c>
      <c r="O19" s="329">
        <f t="shared" si="3"/>
        <v>4.8499999999999996</v>
      </c>
      <c r="P19" s="329">
        <f t="shared" si="3"/>
        <v>22.5</v>
      </c>
      <c r="Q19" s="328">
        <f t="shared" si="3"/>
        <v>16.2</v>
      </c>
      <c r="R19" s="329">
        <f t="shared" si="3"/>
        <v>49.500702312950644</v>
      </c>
      <c r="S19" s="329">
        <f>(Q19*Q25+R19*R25)/S25</f>
        <v>24.461928234731634</v>
      </c>
      <c r="T19" s="328">
        <f>($D$10*T10+$D$11*T11+$D$12*T12+$D$13*T13+$D$14*T14+$D$15*T15+$D$16*T16+$D$17*T17)/T18</f>
        <v>3.67</v>
      </c>
      <c r="U19" s="329">
        <f>($D$10*U10+$D$11*U11+$D$12*U12+$D$13*U13+$D$14*U14+$D$15*U15+$D$16*U16+$D$17*U17)/U18</f>
        <v>61.6676892371378</v>
      </c>
      <c r="V19" s="330">
        <f>(T19*T25+U19*U25)/V25</f>
        <v>52.529929268618901</v>
      </c>
    </row>
    <row r="20" spans="1:22" hidden="1" x14ac:dyDescent="0.2">
      <c r="A20" s="423" t="s">
        <v>123</v>
      </c>
      <c r="B20" s="193" t="s">
        <v>148</v>
      </c>
      <c r="C20" s="140" t="s">
        <v>10</v>
      </c>
      <c r="D20" s="424" t="s">
        <v>135</v>
      </c>
      <c r="E20" s="140">
        <f>E21/640</f>
        <v>4.1515624999999998</v>
      </c>
      <c r="F20" s="140">
        <f t="shared" ref="F20:V20" si="4">F21/640</f>
        <v>4.1515624999999998</v>
      </c>
      <c r="G20" s="167">
        <f t="shared" si="4"/>
        <v>4.1515624999999998</v>
      </c>
      <c r="H20" s="140">
        <f t="shared" si="4"/>
        <v>3.3921874999999999</v>
      </c>
      <c r="I20" s="167">
        <f t="shared" si="4"/>
        <v>1.6828125</v>
      </c>
      <c r="J20" s="140">
        <f t="shared" si="4"/>
        <v>4.1671874999999998</v>
      </c>
      <c r="K20" s="140">
        <f t="shared" si="4"/>
        <v>4.1671874999999998</v>
      </c>
      <c r="L20" s="167">
        <f t="shared" si="4"/>
        <v>4.1671874999999998</v>
      </c>
      <c r="M20" s="140">
        <f t="shared" si="4"/>
        <v>1.60625</v>
      </c>
      <c r="N20" s="140">
        <f t="shared" si="4"/>
        <v>25.4453125</v>
      </c>
      <c r="O20" s="140">
        <f t="shared" si="4"/>
        <v>10.03125</v>
      </c>
      <c r="P20" s="140">
        <f t="shared" si="4"/>
        <v>10.46875</v>
      </c>
      <c r="Q20" s="148">
        <f t="shared" si="4"/>
        <v>2.8093750000000002</v>
      </c>
      <c r="R20" s="140">
        <f t="shared" si="4"/>
        <v>2.8093750000000002</v>
      </c>
      <c r="S20" s="167">
        <f t="shared" si="4"/>
        <v>2.8093750000000002</v>
      </c>
      <c r="T20" s="148">
        <f t="shared" si="4"/>
        <v>1.58125</v>
      </c>
      <c r="U20" s="140">
        <f t="shared" si="4"/>
        <v>1.58125</v>
      </c>
      <c r="V20" s="167">
        <f t="shared" si="4"/>
        <v>1.58125</v>
      </c>
    </row>
    <row r="21" spans="1:22" hidden="1" x14ac:dyDescent="0.2">
      <c r="A21" s="425" t="s">
        <v>123</v>
      </c>
      <c r="B21" s="205" t="s">
        <v>148</v>
      </c>
      <c r="C21" s="206" t="s">
        <v>100</v>
      </c>
      <c r="D21" s="426" t="s">
        <v>135</v>
      </c>
      <c r="E21" s="209">
        <v>2657</v>
      </c>
      <c r="F21" s="209">
        <v>2657</v>
      </c>
      <c r="G21" s="210">
        <v>2657</v>
      </c>
      <c r="H21" s="243">
        <v>2171</v>
      </c>
      <c r="I21" s="244">
        <v>1077</v>
      </c>
      <c r="J21" s="243">
        <v>2667</v>
      </c>
      <c r="K21" s="243">
        <v>2667</v>
      </c>
      <c r="L21" s="244">
        <v>2667</v>
      </c>
      <c r="M21" s="243">
        <v>1028</v>
      </c>
      <c r="N21" s="243">
        <v>16285</v>
      </c>
      <c r="O21" s="243">
        <v>6420</v>
      </c>
      <c r="P21" s="243">
        <v>6700</v>
      </c>
      <c r="Q21" s="245">
        <v>1798</v>
      </c>
      <c r="R21" s="243">
        <v>1798</v>
      </c>
      <c r="S21" s="244">
        <v>1798</v>
      </c>
      <c r="T21" s="245">
        <v>1012</v>
      </c>
      <c r="U21" s="243">
        <v>1012</v>
      </c>
      <c r="V21" s="244">
        <v>1012</v>
      </c>
    </row>
    <row r="22" spans="1:22" ht="25.5" hidden="1" x14ac:dyDescent="0.2">
      <c r="A22" s="427" t="s">
        <v>216</v>
      </c>
      <c r="B22" s="335" t="s">
        <v>214</v>
      </c>
      <c r="C22" s="336" t="s">
        <v>12</v>
      </c>
      <c r="D22" s="428" t="s">
        <v>135</v>
      </c>
      <c r="E22" s="405">
        <v>17</v>
      </c>
      <c r="F22" s="338">
        <f>100-F17</f>
        <v>100</v>
      </c>
      <c r="G22" s="337">
        <f>G25/G20*100</f>
        <v>22.49491908167106</v>
      </c>
      <c r="H22" s="356">
        <f>100-H17</f>
        <v>57</v>
      </c>
      <c r="I22" s="338">
        <f>100-I17</f>
        <v>80</v>
      </c>
      <c r="J22" s="356">
        <f>100-J17</f>
        <v>48</v>
      </c>
      <c r="K22" s="338">
        <f>100-K17</f>
        <v>100</v>
      </c>
      <c r="L22" s="337">
        <f>L25/L20*100</f>
        <v>50.924634420697402</v>
      </c>
      <c r="M22" s="356">
        <f t="shared" ref="M22:R22" si="5">100-M17</f>
        <v>5</v>
      </c>
      <c r="N22" s="338">
        <f t="shared" si="5"/>
        <v>1</v>
      </c>
      <c r="O22" s="338">
        <f t="shared" si="5"/>
        <v>10</v>
      </c>
      <c r="P22" s="338">
        <f t="shared" si="5"/>
        <v>25</v>
      </c>
      <c r="Q22" s="356">
        <f t="shared" si="5"/>
        <v>18</v>
      </c>
      <c r="R22" s="338">
        <f t="shared" si="5"/>
        <v>83.528420264069666</v>
      </c>
      <c r="S22" s="337">
        <f>S25/S20*100</f>
        <v>23.939376574931227</v>
      </c>
      <c r="T22" s="356">
        <f>100-T17</f>
        <v>5</v>
      </c>
      <c r="U22" s="338">
        <f>100-U17</f>
        <v>91.147989355410999</v>
      </c>
      <c r="V22" s="359">
        <f>V25/V20*100</f>
        <v>31.735178772997674</v>
      </c>
    </row>
    <row r="23" spans="1:22" hidden="1" x14ac:dyDescent="0.2">
      <c r="A23" s="429" t="s">
        <v>104</v>
      </c>
      <c r="B23" s="345" t="s">
        <v>15</v>
      </c>
      <c r="C23" s="346" t="s">
        <v>122</v>
      </c>
      <c r="D23" s="430" t="s">
        <v>135</v>
      </c>
      <c r="E23" s="406">
        <f>E22/100*E21*43560</f>
        <v>19675616.400000002</v>
      </c>
      <c r="F23" s="331">
        <v>6359760</v>
      </c>
      <c r="G23" s="331">
        <f>SUM(E23:F23)</f>
        <v>26035376.400000002</v>
      </c>
      <c r="H23" s="358">
        <f>H22/100*H21*43560</f>
        <v>53904193.199999988</v>
      </c>
      <c r="I23" s="332">
        <f>I22/100*I21*43560</f>
        <v>37531296</v>
      </c>
      <c r="J23" s="358">
        <f>J22/100*J21*43560</f>
        <v>55763769.599999994</v>
      </c>
      <c r="K23" s="331">
        <v>3397680</v>
      </c>
      <c r="L23" s="331">
        <f>SUM(J23:K23)</f>
        <v>59161449.599999994</v>
      </c>
      <c r="M23" s="358">
        <f>M22/100*M21*43560</f>
        <v>2238984.0000000005</v>
      </c>
      <c r="N23" s="332">
        <f>N22/100*N21*43560</f>
        <v>7093746</v>
      </c>
      <c r="O23" s="332">
        <f>O22/100*O21*43560</f>
        <v>27965520</v>
      </c>
      <c r="P23" s="332">
        <f>P22/100*P21*43560</f>
        <v>72963000</v>
      </c>
      <c r="Q23" s="358">
        <f>Q22/100*Q21*43560</f>
        <v>14097758.399999999</v>
      </c>
      <c r="R23" s="331">
        <v>4651772</v>
      </c>
      <c r="S23" s="333">
        <f>SUM(Q23:R23)</f>
        <v>18749530.399999999</v>
      </c>
      <c r="T23" s="332">
        <f>T22/100*T21*43560</f>
        <v>2204136</v>
      </c>
      <c r="U23" s="331">
        <v>11785594</v>
      </c>
      <c r="V23" s="333">
        <f>SUM(T23:U23)</f>
        <v>13989730</v>
      </c>
    </row>
    <row r="24" spans="1:22" hidden="1" x14ac:dyDescent="0.2">
      <c r="A24" s="423" t="s">
        <v>104</v>
      </c>
      <c r="B24" s="193" t="s">
        <v>15</v>
      </c>
      <c r="C24" s="139" t="s">
        <v>100</v>
      </c>
      <c r="D24" s="424" t="s">
        <v>135</v>
      </c>
      <c r="E24" s="146">
        <f>E23/43560</f>
        <v>451.69000000000005</v>
      </c>
      <c r="F24" s="146">
        <f t="shared" ref="F24:G24" si="6">F23/43560</f>
        <v>146</v>
      </c>
      <c r="G24" s="146">
        <f t="shared" si="6"/>
        <v>597.69000000000005</v>
      </c>
      <c r="H24" s="149">
        <f>H23/43560</f>
        <v>1237.4699999999998</v>
      </c>
      <c r="I24" s="146">
        <f t="shared" ref="I24:V24" si="7">I23/43560</f>
        <v>861.6</v>
      </c>
      <c r="J24" s="149">
        <f t="shared" si="7"/>
        <v>1280.1599999999999</v>
      </c>
      <c r="K24" s="146">
        <f t="shared" si="7"/>
        <v>78</v>
      </c>
      <c r="L24" s="146">
        <f t="shared" si="7"/>
        <v>1358.1599999999999</v>
      </c>
      <c r="M24" s="149">
        <f t="shared" si="7"/>
        <v>51.400000000000013</v>
      </c>
      <c r="N24" s="146">
        <f t="shared" si="7"/>
        <v>162.85</v>
      </c>
      <c r="O24" s="146">
        <f t="shared" si="7"/>
        <v>642</v>
      </c>
      <c r="P24" s="146">
        <f t="shared" si="7"/>
        <v>1675</v>
      </c>
      <c r="Q24" s="149">
        <f t="shared" si="7"/>
        <v>323.64</v>
      </c>
      <c r="R24" s="146">
        <f t="shared" si="7"/>
        <v>106.78999081726354</v>
      </c>
      <c r="S24" s="168">
        <f t="shared" si="7"/>
        <v>430.4299908172635</v>
      </c>
      <c r="T24" s="149">
        <f t="shared" si="7"/>
        <v>50.6</v>
      </c>
      <c r="U24" s="146">
        <f t="shared" si="7"/>
        <v>270.56000918273645</v>
      </c>
      <c r="V24" s="168">
        <f t="shared" si="7"/>
        <v>321.16000918273647</v>
      </c>
    </row>
    <row r="25" spans="1:22" hidden="1" x14ac:dyDescent="0.2">
      <c r="A25" s="423" t="s">
        <v>104</v>
      </c>
      <c r="B25" s="193" t="s">
        <v>15</v>
      </c>
      <c r="C25" s="139" t="s">
        <v>10</v>
      </c>
      <c r="D25" s="424" t="s">
        <v>135</v>
      </c>
      <c r="E25" s="140">
        <f>E24/640</f>
        <v>0.70576562500000006</v>
      </c>
      <c r="F25" s="140">
        <f t="shared" ref="F25:G25" si="8">F24/640</f>
        <v>0.22812499999999999</v>
      </c>
      <c r="G25" s="140">
        <f t="shared" si="8"/>
        <v>0.93389062500000009</v>
      </c>
      <c r="H25" s="148">
        <f>H24/640</f>
        <v>1.9335468749999998</v>
      </c>
      <c r="I25" s="140">
        <f t="shared" ref="I25:V25" si="9">I24/640</f>
        <v>1.3462499999999999</v>
      </c>
      <c r="J25" s="148">
        <f t="shared" si="9"/>
        <v>2.0002499999999999</v>
      </c>
      <c r="K25" s="140">
        <f t="shared" si="9"/>
        <v>0.121875</v>
      </c>
      <c r="L25" s="140">
        <f t="shared" si="9"/>
        <v>2.1221249999999996</v>
      </c>
      <c r="M25" s="148">
        <f t="shared" si="9"/>
        <v>8.0312500000000023E-2</v>
      </c>
      <c r="N25" s="140">
        <f t="shared" si="9"/>
        <v>0.254453125</v>
      </c>
      <c r="O25" s="140">
        <f t="shared" si="9"/>
        <v>1.003125</v>
      </c>
      <c r="P25" s="140">
        <f t="shared" si="9"/>
        <v>2.6171875</v>
      </c>
      <c r="Q25" s="148">
        <f t="shared" si="9"/>
        <v>0.50568749999999996</v>
      </c>
      <c r="R25" s="140">
        <f t="shared" si="9"/>
        <v>0.16685936065197429</v>
      </c>
      <c r="S25" s="167">
        <f t="shared" si="9"/>
        <v>0.67254686065197422</v>
      </c>
      <c r="T25" s="148">
        <f t="shared" si="9"/>
        <v>7.9062500000000008E-2</v>
      </c>
      <c r="U25" s="140">
        <f t="shared" si="9"/>
        <v>0.42275001434802573</v>
      </c>
      <c r="V25" s="167">
        <f t="shared" si="9"/>
        <v>0.50181251434802576</v>
      </c>
    </row>
    <row r="26" spans="1:22" ht="38.25" hidden="1" x14ac:dyDescent="0.2">
      <c r="A26" s="431" t="s">
        <v>215</v>
      </c>
      <c r="B26" s="355" t="s">
        <v>148</v>
      </c>
      <c r="C26" s="255" t="s">
        <v>12</v>
      </c>
      <c r="D26" s="432" t="s">
        <v>135</v>
      </c>
      <c r="E26" s="351" t="s">
        <v>135</v>
      </c>
      <c r="F26" s="350">
        <f>F25/F20*100</f>
        <v>5.4949190816710578</v>
      </c>
      <c r="G26" s="351" t="s">
        <v>135</v>
      </c>
      <c r="H26" s="352" t="s">
        <v>135</v>
      </c>
      <c r="I26" s="353" t="s">
        <v>135</v>
      </c>
      <c r="J26" s="352" t="s">
        <v>135</v>
      </c>
      <c r="K26" s="350">
        <f>K25/K20*100</f>
        <v>2.9246344206974131</v>
      </c>
      <c r="L26" s="351" t="s">
        <v>135</v>
      </c>
      <c r="M26" s="352" t="s">
        <v>135</v>
      </c>
      <c r="N26" s="353" t="s">
        <v>135</v>
      </c>
      <c r="O26" s="353" t="s">
        <v>135</v>
      </c>
      <c r="P26" s="353" t="s">
        <v>135</v>
      </c>
      <c r="Q26" s="352" t="s">
        <v>135</v>
      </c>
      <c r="R26" s="350">
        <f>R25/R20*100</f>
        <v>5.9393765749312317</v>
      </c>
      <c r="S26" s="354" t="s">
        <v>135</v>
      </c>
      <c r="T26" s="352" t="s">
        <v>135</v>
      </c>
      <c r="U26" s="350">
        <f>U25/U20*100</f>
        <v>26.735178772997674</v>
      </c>
      <c r="V26" s="354" t="s">
        <v>135</v>
      </c>
    </row>
    <row r="27" spans="1:22" hidden="1" x14ac:dyDescent="0.2">
      <c r="A27" s="433" t="s">
        <v>132</v>
      </c>
      <c r="B27" s="193" t="s">
        <v>148</v>
      </c>
      <c r="C27" s="139" t="s">
        <v>10</v>
      </c>
      <c r="D27" s="424" t="s">
        <v>135</v>
      </c>
      <c r="E27" s="140">
        <f t="shared" ref="E27:V27" si="10">E20-E25</f>
        <v>3.4457968749999996</v>
      </c>
      <c r="F27" s="140">
        <f t="shared" si="10"/>
        <v>3.9234374999999999</v>
      </c>
      <c r="G27" s="140">
        <f t="shared" si="10"/>
        <v>3.2176718749999997</v>
      </c>
      <c r="H27" s="148">
        <f t="shared" si="10"/>
        <v>1.4586406250000001</v>
      </c>
      <c r="I27" s="140">
        <f t="shared" si="10"/>
        <v>0.3365625000000001</v>
      </c>
      <c r="J27" s="148">
        <f t="shared" si="10"/>
        <v>2.1669375</v>
      </c>
      <c r="K27" s="140">
        <f t="shared" si="10"/>
        <v>4.0453124999999996</v>
      </c>
      <c r="L27" s="140">
        <f t="shared" si="10"/>
        <v>2.0450625000000002</v>
      </c>
      <c r="M27" s="148">
        <f t="shared" si="10"/>
        <v>1.5259374999999999</v>
      </c>
      <c r="N27" s="140">
        <f t="shared" si="10"/>
        <v>25.190859374999999</v>
      </c>
      <c r="O27" s="140">
        <f t="shared" si="10"/>
        <v>9.0281249999999993</v>
      </c>
      <c r="P27" s="140">
        <f t="shared" si="10"/>
        <v>7.8515625</v>
      </c>
      <c r="Q27" s="148">
        <f t="shared" si="10"/>
        <v>2.3036875000000001</v>
      </c>
      <c r="R27" s="140">
        <f t="shared" si="10"/>
        <v>2.642515639348026</v>
      </c>
      <c r="S27" s="167">
        <f t="shared" si="10"/>
        <v>2.136828139348026</v>
      </c>
      <c r="T27" s="148">
        <f t="shared" si="10"/>
        <v>1.5021875</v>
      </c>
      <c r="U27" s="140">
        <f t="shared" si="10"/>
        <v>1.1584999856519742</v>
      </c>
      <c r="V27" s="167">
        <f t="shared" si="10"/>
        <v>1.0794374856519742</v>
      </c>
    </row>
    <row r="28" spans="1:22" ht="25.5" hidden="1" x14ac:dyDescent="0.2">
      <c r="A28" s="434" t="s">
        <v>137</v>
      </c>
      <c r="B28" s="205" t="s">
        <v>148</v>
      </c>
      <c r="C28" s="340" t="s">
        <v>12</v>
      </c>
      <c r="D28" s="426"/>
      <c r="E28" s="342">
        <v>0</v>
      </c>
      <c r="F28" s="342">
        <v>0</v>
      </c>
      <c r="G28" s="342">
        <v>0</v>
      </c>
      <c r="H28" s="341">
        <v>0</v>
      </c>
      <c r="I28" s="342">
        <v>0</v>
      </c>
      <c r="J28" s="341">
        <v>0</v>
      </c>
      <c r="K28" s="342">
        <v>0</v>
      </c>
      <c r="L28" s="342">
        <v>0</v>
      </c>
      <c r="M28" s="341">
        <v>0</v>
      </c>
      <c r="N28" s="342">
        <v>0</v>
      </c>
      <c r="O28" s="342">
        <v>0</v>
      </c>
      <c r="P28" s="342">
        <v>0</v>
      </c>
      <c r="Q28" s="341">
        <v>0</v>
      </c>
      <c r="R28" s="342">
        <v>0</v>
      </c>
      <c r="S28" s="343">
        <v>0</v>
      </c>
      <c r="T28" s="341">
        <v>0</v>
      </c>
      <c r="U28" s="342">
        <v>0</v>
      </c>
      <c r="V28" s="343">
        <v>0</v>
      </c>
    </row>
    <row r="29" spans="1:22" ht="24" customHeight="1" x14ac:dyDescent="0.2">
      <c r="A29" s="437" t="s">
        <v>249</v>
      </c>
      <c r="B29" s="438"/>
      <c r="C29" s="438"/>
      <c r="D29" s="439"/>
      <c r="E29" s="130"/>
      <c r="F29" s="130"/>
      <c r="G29" s="130"/>
      <c r="H29" s="163"/>
      <c r="I29" s="130"/>
      <c r="J29" s="164"/>
      <c r="K29" s="164"/>
      <c r="L29" s="164"/>
      <c r="M29" s="130"/>
      <c r="N29" s="130"/>
      <c r="O29" s="130"/>
      <c r="P29" s="130"/>
      <c r="Q29" s="130"/>
      <c r="R29" s="130"/>
      <c r="S29" s="130"/>
      <c r="T29" s="165"/>
      <c r="U29" s="165"/>
      <c r="V29" s="165"/>
    </row>
    <row r="30" spans="1:22" ht="24" customHeight="1" x14ac:dyDescent="0.2">
      <c r="A30" s="440"/>
      <c r="B30" s="441"/>
      <c r="C30" s="441"/>
      <c r="D30" s="442"/>
      <c r="E30" s="130"/>
      <c r="F30" s="130"/>
      <c r="G30" s="130"/>
      <c r="H30" s="163"/>
      <c r="I30" s="130"/>
      <c r="J30" s="164"/>
      <c r="K30" s="164"/>
      <c r="L30" s="164"/>
      <c r="M30" s="130"/>
      <c r="N30" s="130"/>
      <c r="O30" s="130"/>
      <c r="P30" s="130"/>
      <c r="Q30" s="130"/>
      <c r="R30" s="130"/>
      <c r="S30" s="130"/>
      <c r="T30" s="165"/>
      <c r="U30" s="165"/>
      <c r="V30" s="165"/>
    </row>
    <row r="31" spans="1:22" hidden="1" x14ac:dyDescent="0.2">
      <c r="A31" s="130" t="s">
        <v>228</v>
      </c>
      <c r="B31" s="163"/>
      <c r="C31" s="163"/>
      <c r="D31" s="130"/>
      <c r="E31" s="130"/>
      <c r="F31" s="130"/>
      <c r="G31" s="130"/>
      <c r="H31" s="163"/>
      <c r="I31" s="130"/>
      <c r="J31" s="164"/>
      <c r="K31" s="164"/>
      <c r="L31" s="164"/>
      <c r="M31" s="130"/>
      <c r="N31" s="130"/>
      <c r="O31" s="130"/>
      <c r="P31" s="130"/>
      <c r="Q31" s="130"/>
      <c r="R31" s="130"/>
      <c r="S31" s="130"/>
      <c r="T31" s="165"/>
      <c r="U31" s="165"/>
      <c r="V31" s="165"/>
    </row>
    <row r="32" spans="1:22" hidden="1" x14ac:dyDescent="0.2">
      <c r="A32" s="130" t="s">
        <v>217</v>
      </c>
      <c r="B32" s="163"/>
      <c r="C32" s="163"/>
      <c r="D32" s="130"/>
      <c r="E32" s="130"/>
      <c r="F32" s="130"/>
      <c r="G32" s="130"/>
      <c r="H32" s="163"/>
      <c r="I32" s="130"/>
      <c r="J32" s="164"/>
      <c r="K32" s="164"/>
      <c r="L32" s="164"/>
      <c r="M32" s="130"/>
      <c r="N32" s="130"/>
      <c r="O32" s="130"/>
      <c r="P32" s="130"/>
      <c r="Q32" s="130"/>
      <c r="R32" s="130"/>
      <c r="S32" s="130"/>
      <c r="T32" s="165"/>
      <c r="U32" s="165"/>
      <c r="V32" s="165"/>
    </row>
    <row r="33" spans="1:22" hidden="1" x14ac:dyDescent="0.2">
      <c r="A33" s="130" t="s">
        <v>246</v>
      </c>
      <c r="B33" s="163"/>
      <c r="C33" s="163"/>
      <c r="D33" s="130"/>
      <c r="E33" s="130"/>
      <c r="F33" s="130"/>
      <c r="G33" s="130"/>
      <c r="H33" s="163"/>
      <c r="I33" s="130"/>
      <c r="J33" s="164"/>
      <c r="K33" s="164"/>
      <c r="L33" s="164"/>
      <c r="M33" s="130"/>
      <c r="N33" s="130"/>
      <c r="O33" s="130"/>
      <c r="P33" s="130"/>
      <c r="Q33" s="130"/>
      <c r="R33" s="130"/>
      <c r="S33" s="130"/>
      <c r="T33" s="165"/>
      <c r="U33" s="165"/>
      <c r="V33" s="165"/>
    </row>
    <row r="34" spans="1:22" hidden="1" x14ac:dyDescent="0.2">
      <c r="A34" s="130" t="s">
        <v>223</v>
      </c>
      <c r="B34" s="163"/>
      <c r="C34" s="163"/>
      <c r="D34" s="130"/>
      <c r="E34" s="130"/>
      <c r="F34" s="130"/>
      <c r="G34" s="130"/>
      <c r="H34" s="163"/>
      <c r="I34" s="130"/>
      <c r="J34" s="164"/>
      <c r="K34" s="164"/>
      <c r="L34" s="164"/>
      <c r="M34" s="130"/>
      <c r="N34" s="130"/>
      <c r="O34" s="130"/>
      <c r="P34" s="130"/>
      <c r="Q34" s="130"/>
      <c r="R34" s="130"/>
      <c r="S34" s="130"/>
      <c r="T34" s="165"/>
      <c r="U34" s="165"/>
      <c r="V34" s="165"/>
    </row>
    <row r="35" spans="1:22" hidden="1" x14ac:dyDescent="0.2">
      <c r="A35" s="130" t="s">
        <v>219</v>
      </c>
      <c r="B35" s="163"/>
      <c r="C35" s="163"/>
      <c r="D35" s="130"/>
      <c r="E35" s="130"/>
      <c r="F35" s="130"/>
      <c r="G35" s="130"/>
      <c r="H35" s="163"/>
      <c r="I35" s="130"/>
      <c r="J35" s="164"/>
      <c r="K35" s="164"/>
      <c r="L35" s="164"/>
      <c r="M35" s="130"/>
      <c r="N35" s="130"/>
      <c r="O35" s="130"/>
      <c r="P35" s="130"/>
      <c r="Q35" s="130"/>
      <c r="R35" s="130"/>
      <c r="S35" s="130"/>
      <c r="T35" s="165"/>
      <c r="U35" s="165"/>
      <c r="V35" s="165"/>
    </row>
    <row r="36" spans="1:22" hidden="1" x14ac:dyDescent="0.2">
      <c r="A36" s="130" t="s">
        <v>239</v>
      </c>
      <c r="B36" s="163"/>
      <c r="C36" s="163"/>
      <c r="D36" s="130"/>
      <c r="E36" s="130"/>
      <c r="F36" s="130"/>
      <c r="G36" s="130"/>
      <c r="H36" s="163"/>
      <c r="I36" s="130"/>
      <c r="J36" s="164"/>
      <c r="K36" s="164"/>
      <c r="L36" s="164"/>
      <c r="M36" s="130"/>
      <c r="N36" s="130"/>
      <c r="O36" s="130"/>
      <c r="P36" s="130"/>
      <c r="Q36" s="130"/>
      <c r="R36" s="130"/>
      <c r="S36" s="130"/>
      <c r="T36" s="165"/>
      <c r="U36" s="165"/>
      <c r="V36" s="165"/>
    </row>
    <row r="37" spans="1:22" hidden="1" x14ac:dyDescent="0.2"/>
  </sheetData>
  <mergeCells count="1">
    <mergeCell ref="A29:D30"/>
  </mergeCells>
  <printOptions gridLines="1"/>
  <pageMargins left="0.7" right="0.7" top="0.75" bottom="0.75" header="0.3" footer="0.3"/>
  <pageSetup paperSize="3" orientation="landscape" r:id="rId1"/>
  <headerFooter>
    <oddHeader>&amp;LSmith Engineering Company&amp;R&amp;D</oddHeader>
    <oddFooter>&amp;L&amp;"Arial Narrow,Regular"&amp;9&amp;Z&amp;F&amp;A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50"/>
  <sheetViews>
    <sheetView zoomScaleNormal="100" workbookViewId="0">
      <selection activeCell="F6" sqref="F6"/>
    </sheetView>
  </sheetViews>
  <sheetFormatPr defaultRowHeight="16.5" x14ac:dyDescent="0.3"/>
  <cols>
    <col min="1" max="1" width="8.42578125" style="1" customWidth="1"/>
    <col min="2" max="2" width="7.85546875" style="1" customWidth="1"/>
    <col min="3" max="3" width="41.28515625" style="1" customWidth="1"/>
    <col min="4" max="4" width="7.42578125" style="6" customWidth="1"/>
    <col min="5" max="5" width="10.85546875" style="111" customWidth="1"/>
    <col min="6" max="6" width="6.85546875" style="1" customWidth="1"/>
    <col min="7" max="7" width="6.85546875" style="4" customWidth="1"/>
    <col min="8" max="9" width="9.140625" style="1"/>
    <col min="10" max="10" width="10.140625" style="1" customWidth="1"/>
    <col min="11" max="11" width="10" style="1" customWidth="1"/>
    <col min="12" max="13" width="9.140625" style="4"/>
    <col min="14" max="16384" width="9.140625" style="1"/>
  </cols>
  <sheetData>
    <row r="1" spans="1:13" x14ac:dyDescent="0.3">
      <c r="A1" s="26" t="s">
        <v>75</v>
      </c>
      <c r="B1" s="26"/>
      <c r="C1" s="26"/>
      <c r="D1" s="27"/>
      <c r="E1" s="97"/>
      <c r="F1" s="26"/>
      <c r="G1" s="28"/>
      <c r="H1" s="26"/>
      <c r="I1" s="26" t="s">
        <v>76</v>
      </c>
      <c r="J1" s="48"/>
      <c r="K1" s="48"/>
      <c r="L1" s="49"/>
      <c r="M1" s="28"/>
    </row>
    <row r="2" spans="1:13" ht="6" customHeight="1" x14ac:dyDescent="0.3">
      <c r="A2" s="26"/>
      <c r="B2" s="26"/>
      <c r="C2" s="26"/>
      <c r="D2" s="27"/>
      <c r="E2" s="97"/>
      <c r="F2" s="26"/>
      <c r="G2" s="28"/>
      <c r="H2" s="26"/>
      <c r="I2" s="26"/>
      <c r="J2" s="26"/>
      <c r="K2" s="26"/>
      <c r="L2" s="28"/>
      <c r="M2" s="28"/>
    </row>
    <row r="3" spans="1:13" x14ac:dyDescent="0.3">
      <c r="A3" s="26" t="s">
        <v>1</v>
      </c>
      <c r="B3" s="26"/>
      <c r="C3" s="26"/>
      <c r="D3" s="27"/>
      <c r="E3" s="97"/>
      <c r="F3" s="26"/>
      <c r="G3" s="28"/>
      <c r="H3" s="26"/>
      <c r="I3" s="26"/>
      <c r="J3" s="26"/>
      <c r="K3" s="26"/>
      <c r="L3" s="28"/>
      <c r="M3" s="28"/>
    </row>
    <row r="4" spans="1:13" x14ac:dyDescent="0.3">
      <c r="A4" s="29" t="s">
        <v>2</v>
      </c>
      <c r="B4" s="29"/>
      <c r="C4" s="29"/>
      <c r="D4" s="30"/>
      <c r="E4" s="98"/>
      <c r="F4" s="29"/>
      <c r="G4" s="31"/>
      <c r="H4" s="29"/>
      <c r="I4" s="29"/>
      <c r="J4" s="29"/>
      <c r="K4" s="29"/>
      <c r="L4" s="31"/>
      <c r="M4" s="31"/>
    </row>
    <row r="5" spans="1:13" ht="36.75" customHeight="1" x14ac:dyDescent="0.3">
      <c r="D5" s="272" t="s">
        <v>55</v>
      </c>
      <c r="E5" s="273"/>
      <c r="F5" s="274"/>
      <c r="G5" s="275"/>
      <c r="H5" s="276" t="s">
        <v>53</v>
      </c>
      <c r="I5" s="277" t="s">
        <v>54</v>
      </c>
      <c r="J5" s="276" t="s">
        <v>53</v>
      </c>
      <c r="K5" s="277" t="s">
        <v>54</v>
      </c>
      <c r="L5" s="278" t="s">
        <v>53</v>
      </c>
      <c r="M5" s="279" t="s">
        <v>54</v>
      </c>
    </row>
    <row r="6" spans="1:13" ht="49.5" x14ac:dyDescent="0.3">
      <c r="A6" s="2" t="s">
        <v>73</v>
      </c>
      <c r="B6" s="2" t="s">
        <v>3</v>
      </c>
      <c r="C6" s="2" t="s">
        <v>4</v>
      </c>
      <c r="D6" s="7" t="s">
        <v>5</v>
      </c>
      <c r="E6" s="99" t="s">
        <v>5</v>
      </c>
      <c r="F6" s="2" t="s">
        <v>6</v>
      </c>
      <c r="G6" s="5" t="s">
        <v>7</v>
      </c>
      <c r="H6" s="12" t="s">
        <v>8</v>
      </c>
      <c r="I6" s="11" t="s">
        <v>8</v>
      </c>
      <c r="J6" s="12" t="s">
        <v>56</v>
      </c>
      <c r="K6" s="11" t="s">
        <v>56</v>
      </c>
      <c r="L6" s="15" t="s">
        <v>9</v>
      </c>
      <c r="M6" s="16" t="s">
        <v>9</v>
      </c>
    </row>
    <row r="7" spans="1:13" x14ac:dyDescent="0.3">
      <c r="A7" s="2"/>
      <c r="B7" s="2"/>
      <c r="C7" s="2"/>
      <c r="D7" s="7" t="s">
        <v>100</v>
      </c>
      <c r="E7" s="99" t="s">
        <v>10</v>
      </c>
      <c r="F7" s="2" t="s">
        <v>11</v>
      </c>
      <c r="G7" s="5" t="s">
        <v>11</v>
      </c>
      <c r="H7" s="12"/>
      <c r="I7" s="11"/>
      <c r="J7" s="12" t="s">
        <v>12</v>
      </c>
      <c r="K7" s="11" t="s">
        <v>12</v>
      </c>
      <c r="L7" s="15" t="s">
        <v>12</v>
      </c>
      <c r="M7" s="18" t="s">
        <v>12</v>
      </c>
    </row>
    <row r="8" spans="1:13" ht="20.25" x14ac:dyDescent="0.3">
      <c r="A8" s="47" t="s">
        <v>72</v>
      </c>
      <c r="B8" s="14"/>
      <c r="C8" s="14"/>
      <c r="D8" s="19" t="s">
        <v>62</v>
      </c>
      <c r="E8" s="100" t="s">
        <v>63</v>
      </c>
      <c r="F8" s="20" t="s">
        <v>62</v>
      </c>
      <c r="G8" s="21" t="s">
        <v>62</v>
      </c>
      <c r="H8" s="22" t="s">
        <v>62</v>
      </c>
      <c r="I8" s="23" t="s">
        <v>62</v>
      </c>
      <c r="J8" s="22" t="s">
        <v>66</v>
      </c>
      <c r="K8" s="23" t="s">
        <v>66</v>
      </c>
      <c r="L8" s="24" t="s">
        <v>15</v>
      </c>
      <c r="M8" s="25" t="s">
        <v>15</v>
      </c>
    </row>
    <row r="9" spans="1:13" x14ac:dyDescent="0.3">
      <c r="A9" s="3">
        <v>1</v>
      </c>
      <c r="B9" s="3" t="s">
        <v>14</v>
      </c>
      <c r="C9" s="3" t="s">
        <v>35</v>
      </c>
      <c r="D9" s="6">
        <v>2169</v>
      </c>
      <c r="E9" s="101">
        <f>D9/640</f>
        <v>3.3890625000000001</v>
      </c>
      <c r="F9" s="3">
        <v>139.6</v>
      </c>
      <c r="G9" s="8">
        <f>F9*0.6</f>
        <v>83.759999999999991</v>
      </c>
      <c r="H9" s="13">
        <v>78</v>
      </c>
      <c r="I9" s="9">
        <v>78</v>
      </c>
      <c r="J9" s="13">
        <v>14</v>
      </c>
      <c r="K9" s="9">
        <v>14</v>
      </c>
      <c r="L9" s="17">
        <f>0.0002*J9^2-0.05*J9+10</f>
        <v>9.3391999999999999</v>
      </c>
      <c r="M9" s="17">
        <f>0.0002*K9^2-0.05*K9+10</f>
        <v>9.3391999999999999</v>
      </c>
    </row>
    <row r="10" spans="1:13" x14ac:dyDescent="0.3">
      <c r="A10" s="3">
        <f>A9+1</f>
        <v>2</v>
      </c>
      <c r="B10" s="3" t="s">
        <v>16</v>
      </c>
      <c r="C10" s="3" t="s">
        <v>36</v>
      </c>
      <c r="D10" s="6">
        <v>4796</v>
      </c>
      <c r="E10" s="101">
        <f t="shared" ref="E10:E32" si="0">D10/640</f>
        <v>7.4937500000000004</v>
      </c>
      <c r="F10" s="3">
        <v>199.9</v>
      </c>
      <c r="G10" s="8">
        <f t="shared" ref="G10:G30" si="1">F10*0.6</f>
        <v>119.94</v>
      </c>
      <c r="H10" s="13">
        <v>78</v>
      </c>
      <c r="I10" s="9">
        <v>78</v>
      </c>
      <c r="J10" s="13">
        <v>12</v>
      </c>
      <c r="K10" s="9">
        <v>12</v>
      </c>
      <c r="L10" s="17">
        <f t="shared" ref="L10:L21" si="2">0.0002*J10^2-0.05*J10+10</f>
        <v>9.4288000000000007</v>
      </c>
      <c r="M10" s="17">
        <f t="shared" ref="M10:M21" si="3">0.0002*K10^2-0.05*K10+10</f>
        <v>9.4288000000000007</v>
      </c>
    </row>
    <row r="11" spans="1:13" x14ac:dyDescent="0.3">
      <c r="A11" s="3">
        <f t="shared" ref="A11:A30" si="4">A10+1</f>
        <v>3</v>
      </c>
      <c r="B11" s="3" t="s">
        <v>17</v>
      </c>
      <c r="C11" s="3" t="s">
        <v>37</v>
      </c>
      <c r="D11" s="6">
        <v>2186</v>
      </c>
      <c r="E11" s="101">
        <f t="shared" si="0"/>
        <v>3.4156249999999999</v>
      </c>
      <c r="F11" s="3">
        <v>202.3</v>
      </c>
      <c r="G11" s="8">
        <f t="shared" si="1"/>
        <v>121.38</v>
      </c>
      <c r="H11" s="13">
        <v>78</v>
      </c>
      <c r="I11" s="9">
        <v>78</v>
      </c>
      <c r="J11" s="13">
        <v>17</v>
      </c>
      <c r="K11" s="9">
        <v>17</v>
      </c>
      <c r="L11" s="17">
        <f t="shared" si="2"/>
        <v>9.2078000000000007</v>
      </c>
      <c r="M11" s="17">
        <f t="shared" si="3"/>
        <v>9.2078000000000007</v>
      </c>
    </row>
    <row r="12" spans="1:13" x14ac:dyDescent="0.3">
      <c r="A12" s="3">
        <f t="shared" si="4"/>
        <v>4</v>
      </c>
      <c r="B12" s="3" t="s">
        <v>18</v>
      </c>
      <c r="C12" s="3" t="s">
        <v>38</v>
      </c>
      <c r="D12" s="6">
        <v>2807</v>
      </c>
      <c r="E12" s="101">
        <f t="shared" si="0"/>
        <v>4.3859374999999998</v>
      </c>
      <c r="F12" s="3">
        <v>203.9</v>
      </c>
      <c r="G12" s="8">
        <f t="shared" si="1"/>
        <v>122.34</v>
      </c>
      <c r="H12" s="13">
        <v>78</v>
      </c>
      <c r="I12" s="9">
        <v>78</v>
      </c>
      <c r="J12" s="13">
        <v>11</v>
      </c>
      <c r="K12" s="9">
        <v>11</v>
      </c>
      <c r="L12" s="17">
        <f t="shared" si="2"/>
        <v>9.4741999999999997</v>
      </c>
      <c r="M12" s="17">
        <f t="shared" si="3"/>
        <v>9.4741999999999997</v>
      </c>
    </row>
    <row r="13" spans="1:13" x14ac:dyDescent="0.3">
      <c r="A13" s="3">
        <f t="shared" si="4"/>
        <v>5</v>
      </c>
      <c r="B13" s="3" t="s">
        <v>19</v>
      </c>
      <c r="C13" s="3" t="s">
        <v>39</v>
      </c>
      <c r="D13" s="6">
        <v>7996</v>
      </c>
      <c r="E13" s="101">
        <f t="shared" si="0"/>
        <v>12.49375</v>
      </c>
      <c r="F13" s="3">
        <v>166.2</v>
      </c>
      <c r="G13" s="8">
        <f t="shared" si="1"/>
        <v>99.719999999999985</v>
      </c>
      <c r="H13" s="13">
        <v>74</v>
      </c>
      <c r="I13" s="9">
        <v>74</v>
      </c>
      <c r="J13" s="13">
        <v>19</v>
      </c>
      <c r="K13" s="9">
        <v>19</v>
      </c>
      <c r="L13" s="17">
        <f t="shared" si="2"/>
        <v>9.1221999999999994</v>
      </c>
      <c r="M13" s="17">
        <f t="shared" si="3"/>
        <v>9.1221999999999994</v>
      </c>
    </row>
    <row r="14" spans="1:13" x14ac:dyDescent="0.3">
      <c r="A14" s="3">
        <f t="shared" si="4"/>
        <v>6</v>
      </c>
      <c r="B14" s="3" t="s">
        <v>20</v>
      </c>
      <c r="C14" s="3" t="s">
        <v>40</v>
      </c>
      <c r="D14" s="6">
        <v>1913</v>
      </c>
      <c r="E14" s="101">
        <f t="shared" si="0"/>
        <v>2.9890625000000002</v>
      </c>
      <c r="F14" s="3">
        <v>128</v>
      </c>
      <c r="G14" s="8">
        <f t="shared" si="1"/>
        <v>76.8</v>
      </c>
      <c r="H14" s="13">
        <v>70</v>
      </c>
      <c r="I14" s="9">
        <v>70</v>
      </c>
      <c r="J14" s="13">
        <v>5</v>
      </c>
      <c r="K14" s="9">
        <v>5</v>
      </c>
      <c r="L14" s="17">
        <f t="shared" si="2"/>
        <v>9.7550000000000008</v>
      </c>
      <c r="M14" s="17">
        <f t="shared" si="3"/>
        <v>9.7550000000000008</v>
      </c>
    </row>
    <row r="15" spans="1:13" x14ac:dyDescent="0.3">
      <c r="A15" s="3">
        <f t="shared" si="4"/>
        <v>7</v>
      </c>
      <c r="B15" s="3" t="s">
        <v>21</v>
      </c>
      <c r="C15" s="3" t="s">
        <v>41</v>
      </c>
      <c r="D15" s="6">
        <v>14897</v>
      </c>
      <c r="E15" s="101">
        <f t="shared" si="0"/>
        <v>23.276562500000001</v>
      </c>
      <c r="F15" s="3">
        <v>435.4</v>
      </c>
      <c r="G15" s="8">
        <f t="shared" si="1"/>
        <v>261.23999999999995</v>
      </c>
      <c r="H15" s="13">
        <v>70</v>
      </c>
      <c r="I15" s="9">
        <v>70</v>
      </c>
      <c r="J15" s="13">
        <v>14</v>
      </c>
      <c r="K15" s="9">
        <v>14</v>
      </c>
      <c r="L15" s="17">
        <f t="shared" si="2"/>
        <v>9.3391999999999999</v>
      </c>
      <c r="M15" s="17">
        <f t="shared" si="3"/>
        <v>9.3391999999999999</v>
      </c>
    </row>
    <row r="16" spans="1:13" x14ac:dyDescent="0.3">
      <c r="A16" s="3">
        <f t="shared" si="4"/>
        <v>8</v>
      </c>
      <c r="B16" s="3" t="s">
        <v>22</v>
      </c>
      <c r="C16" s="3" t="s">
        <v>42</v>
      </c>
      <c r="D16" s="6">
        <v>2686</v>
      </c>
      <c r="E16" s="101">
        <f t="shared" si="0"/>
        <v>4.1968750000000004</v>
      </c>
      <c r="F16" s="3">
        <v>85.9</v>
      </c>
      <c r="G16" s="8">
        <f t="shared" si="1"/>
        <v>51.54</v>
      </c>
      <c r="H16" s="13">
        <v>70</v>
      </c>
      <c r="I16" s="9">
        <v>70</v>
      </c>
      <c r="J16" s="13">
        <v>11</v>
      </c>
      <c r="K16" s="9">
        <v>11</v>
      </c>
      <c r="L16" s="17">
        <f t="shared" si="2"/>
        <v>9.4741999999999997</v>
      </c>
      <c r="M16" s="17">
        <f t="shared" si="3"/>
        <v>9.4741999999999997</v>
      </c>
    </row>
    <row r="17" spans="1:13" x14ac:dyDescent="0.3">
      <c r="A17" s="3">
        <f t="shared" si="4"/>
        <v>9</v>
      </c>
      <c r="B17" s="3" t="s">
        <v>23</v>
      </c>
      <c r="C17" s="3" t="s">
        <v>43</v>
      </c>
      <c r="D17" s="6">
        <v>2147</v>
      </c>
      <c r="E17" s="101">
        <f t="shared" si="0"/>
        <v>3.3546874999999998</v>
      </c>
      <c r="F17" s="3">
        <v>96.9</v>
      </c>
      <c r="G17" s="8">
        <f t="shared" si="1"/>
        <v>58.14</v>
      </c>
      <c r="H17" s="13">
        <v>70</v>
      </c>
      <c r="I17" s="9">
        <v>70</v>
      </c>
      <c r="J17" s="13">
        <v>4</v>
      </c>
      <c r="K17" s="9">
        <v>4</v>
      </c>
      <c r="L17" s="17">
        <f t="shared" si="2"/>
        <v>9.8032000000000004</v>
      </c>
      <c r="M17" s="17">
        <f t="shared" si="3"/>
        <v>9.8032000000000004</v>
      </c>
    </row>
    <row r="18" spans="1:13" x14ac:dyDescent="0.3">
      <c r="A18" s="3">
        <f t="shared" si="4"/>
        <v>10</v>
      </c>
      <c r="B18" s="3" t="s">
        <v>24</v>
      </c>
      <c r="C18" s="3" t="s">
        <v>44</v>
      </c>
      <c r="D18" s="6">
        <v>4793</v>
      </c>
      <c r="E18" s="101">
        <f t="shared" si="0"/>
        <v>7.4890625000000002</v>
      </c>
      <c r="F18" s="3">
        <v>72.3</v>
      </c>
      <c r="G18" s="8">
        <f t="shared" si="1"/>
        <v>43.379999999999995</v>
      </c>
      <c r="H18" s="13">
        <v>70</v>
      </c>
      <c r="I18" s="9">
        <v>70</v>
      </c>
      <c r="J18" s="13">
        <v>8</v>
      </c>
      <c r="K18" s="9">
        <v>8</v>
      </c>
      <c r="L18" s="17">
        <f t="shared" si="2"/>
        <v>9.6128</v>
      </c>
      <c r="M18" s="17">
        <f t="shared" si="3"/>
        <v>9.6128</v>
      </c>
    </row>
    <row r="19" spans="1:13" x14ac:dyDescent="0.3">
      <c r="A19" s="3">
        <f t="shared" si="4"/>
        <v>11</v>
      </c>
      <c r="B19" s="3" t="s">
        <v>25</v>
      </c>
      <c r="C19" s="3" t="s">
        <v>45</v>
      </c>
      <c r="D19" s="6">
        <v>2657</v>
      </c>
      <c r="E19" s="101">
        <f t="shared" si="0"/>
        <v>4.1515624999999998</v>
      </c>
      <c r="F19" s="3">
        <v>109.4</v>
      </c>
      <c r="G19" s="8">
        <f t="shared" si="1"/>
        <v>65.64</v>
      </c>
      <c r="H19" s="13">
        <v>72</v>
      </c>
      <c r="I19" s="9">
        <v>72</v>
      </c>
      <c r="J19" s="13">
        <v>17</v>
      </c>
      <c r="K19" s="9">
        <v>17</v>
      </c>
      <c r="L19" s="17">
        <f t="shared" si="2"/>
        <v>9.2078000000000007</v>
      </c>
      <c r="M19" s="17">
        <f t="shared" si="3"/>
        <v>9.2078000000000007</v>
      </c>
    </row>
    <row r="20" spans="1:13" x14ac:dyDescent="0.3">
      <c r="A20" s="43" t="s">
        <v>94</v>
      </c>
      <c r="B20" s="44" t="s">
        <v>25</v>
      </c>
      <c r="C20" s="44" t="s">
        <v>45</v>
      </c>
      <c r="D20" s="45">
        <v>2657</v>
      </c>
      <c r="E20" s="102">
        <f t="shared" ref="E20" si="5">D20/640</f>
        <v>4.1515624999999998</v>
      </c>
      <c r="F20" s="44">
        <v>109.4</v>
      </c>
      <c r="G20" s="46">
        <f t="shared" ref="G20" si="6">F20*0.6</f>
        <v>65.64</v>
      </c>
      <c r="H20" s="44">
        <v>72</v>
      </c>
      <c r="I20" s="44">
        <v>72</v>
      </c>
      <c r="J20" s="44">
        <v>17</v>
      </c>
      <c r="K20" s="44">
        <v>17</v>
      </c>
      <c r="L20" s="46">
        <f t="shared" ref="L20" si="7">0.0002*J20^2-0.05*J20+10</f>
        <v>9.2078000000000007</v>
      </c>
      <c r="M20" s="46">
        <f t="shared" ref="M20" si="8">0.0002*K20^2-0.05*K20+10</f>
        <v>9.2078000000000007</v>
      </c>
    </row>
    <row r="21" spans="1:13" x14ac:dyDescent="0.3">
      <c r="A21" s="3">
        <v>12</v>
      </c>
      <c r="B21" s="3" t="s">
        <v>26</v>
      </c>
      <c r="C21" s="3" t="s">
        <v>46</v>
      </c>
      <c r="D21" s="6">
        <v>2171</v>
      </c>
      <c r="E21" s="101">
        <f t="shared" si="0"/>
        <v>3.3921874999999999</v>
      </c>
      <c r="F21" s="3">
        <v>104.2</v>
      </c>
      <c r="G21" s="8">
        <f t="shared" si="1"/>
        <v>62.519999999999996</v>
      </c>
      <c r="H21" s="13">
        <v>72</v>
      </c>
      <c r="I21" s="9">
        <v>72</v>
      </c>
      <c r="J21" s="13">
        <v>45</v>
      </c>
      <c r="K21" s="9">
        <v>45</v>
      </c>
      <c r="L21" s="17">
        <f t="shared" si="2"/>
        <v>8.1549999999999994</v>
      </c>
      <c r="M21" s="17">
        <f t="shared" si="3"/>
        <v>8.1549999999999994</v>
      </c>
    </row>
    <row r="22" spans="1:13" x14ac:dyDescent="0.3">
      <c r="A22" s="3">
        <f t="shared" si="4"/>
        <v>13</v>
      </c>
      <c r="B22" s="3" t="s">
        <v>27</v>
      </c>
      <c r="C22" s="3" t="s">
        <v>47</v>
      </c>
      <c r="D22" s="6">
        <v>1077</v>
      </c>
      <c r="E22" s="101">
        <f t="shared" si="0"/>
        <v>1.6828125</v>
      </c>
      <c r="F22" s="3">
        <v>52.7</v>
      </c>
      <c r="G22" s="8">
        <f t="shared" si="1"/>
        <v>31.62</v>
      </c>
      <c r="H22" s="13">
        <v>72</v>
      </c>
      <c r="I22" s="9">
        <v>72</v>
      </c>
      <c r="J22" s="13">
        <v>80</v>
      </c>
      <c r="K22" s="9">
        <v>80</v>
      </c>
      <c r="L22" s="17">
        <f t="shared" ref="L22:L30" si="9">0.0004*J22^2-0.14*J22+17</f>
        <v>8.36</v>
      </c>
      <c r="M22" s="17">
        <f t="shared" ref="M22:M30" si="10">0.0004*K22^2-0.14*K22+17</f>
        <v>8.36</v>
      </c>
    </row>
    <row r="23" spans="1:13" x14ac:dyDescent="0.3">
      <c r="A23" s="3">
        <f t="shared" si="4"/>
        <v>14</v>
      </c>
      <c r="B23" s="3" t="s">
        <v>28</v>
      </c>
      <c r="C23" s="3" t="s">
        <v>68</v>
      </c>
      <c r="D23" s="6">
        <v>2667</v>
      </c>
      <c r="E23" s="101">
        <f t="shared" si="0"/>
        <v>4.1671874999999998</v>
      </c>
      <c r="F23" s="3">
        <v>131.5</v>
      </c>
      <c r="G23" s="8">
        <f t="shared" si="1"/>
        <v>78.899999999999991</v>
      </c>
      <c r="H23" s="13">
        <v>72</v>
      </c>
      <c r="I23" s="9">
        <v>72</v>
      </c>
      <c r="J23" s="13">
        <v>44</v>
      </c>
      <c r="K23" s="9">
        <v>44</v>
      </c>
      <c r="L23" s="17">
        <f t="shared" si="9"/>
        <v>11.6144</v>
      </c>
      <c r="M23" s="17">
        <f t="shared" si="10"/>
        <v>11.6144</v>
      </c>
    </row>
    <row r="24" spans="1:13" x14ac:dyDescent="0.3">
      <c r="A24" s="43" t="s">
        <v>71</v>
      </c>
      <c r="B24" s="44" t="s">
        <v>28</v>
      </c>
      <c r="C24" s="44" t="s">
        <v>68</v>
      </c>
      <c r="D24" s="45">
        <v>2667</v>
      </c>
      <c r="E24" s="102">
        <f t="shared" ref="E24" si="11">D24/640</f>
        <v>4.1671874999999998</v>
      </c>
      <c r="F24" s="44">
        <v>131.5</v>
      </c>
      <c r="G24" s="46">
        <f t="shared" ref="G24" si="12">F24*0.6</f>
        <v>78.899999999999991</v>
      </c>
      <c r="H24" s="44">
        <v>72</v>
      </c>
      <c r="I24" s="44">
        <v>72</v>
      </c>
      <c r="J24" s="10">
        <v>44</v>
      </c>
      <c r="K24" s="10">
        <v>45</v>
      </c>
      <c r="L24" s="46">
        <f t="shared" ref="L24" si="13">0.0004*J24^2-0.14*J24+17</f>
        <v>11.6144</v>
      </c>
      <c r="M24" s="46">
        <f t="shared" ref="M24" si="14">0.0004*K24^2-0.14*K24+17</f>
        <v>11.51</v>
      </c>
    </row>
    <row r="25" spans="1:13" x14ac:dyDescent="0.3">
      <c r="A25" s="3">
        <v>15</v>
      </c>
      <c r="B25" s="3" t="s">
        <v>29</v>
      </c>
      <c r="C25" s="3" t="s">
        <v>48</v>
      </c>
      <c r="D25" s="6">
        <v>1028</v>
      </c>
      <c r="E25" s="101">
        <f t="shared" si="0"/>
        <v>1.60625</v>
      </c>
      <c r="F25" s="3">
        <v>131.9</v>
      </c>
      <c r="G25" s="8">
        <f t="shared" si="1"/>
        <v>79.14</v>
      </c>
      <c r="H25" s="13">
        <v>72</v>
      </c>
      <c r="I25" s="9">
        <v>72</v>
      </c>
      <c r="J25" s="10">
        <v>7</v>
      </c>
      <c r="K25" s="10">
        <v>50</v>
      </c>
      <c r="L25" s="17">
        <f t="shared" si="9"/>
        <v>16.0396</v>
      </c>
      <c r="M25" s="17">
        <f t="shared" si="10"/>
        <v>11</v>
      </c>
    </row>
    <row r="26" spans="1:13" x14ac:dyDescent="0.3">
      <c r="A26" s="3">
        <f>A25+1</f>
        <v>16</v>
      </c>
      <c r="B26" s="3" t="s">
        <v>30</v>
      </c>
      <c r="C26" s="3" t="s">
        <v>49</v>
      </c>
      <c r="D26" s="6">
        <v>16285</v>
      </c>
      <c r="E26" s="101">
        <f t="shared" si="0"/>
        <v>25.4453125</v>
      </c>
      <c r="F26" s="3">
        <v>296.8</v>
      </c>
      <c r="G26" s="8">
        <f t="shared" si="1"/>
        <v>178.08</v>
      </c>
      <c r="H26" s="13">
        <v>70</v>
      </c>
      <c r="I26" s="9">
        <v>70</v>
      </c>
      <c r="J26" s="10">
        <v>10</v>
      </c>
      <c r="K26" s="10">
        <v>25</v>
      </c>
      <c r="L26" s="17">
        <f t="shared" si="9"/>
        <v>15.64</v>
      </c>
      <c r="M26" s="17">
        <f t="shared" si="10"/>
        <v>13.75</v>
      </c>
    </row>
    <row r="27" spans="1:13" x14ac:dyDescent="0.3">
      <c r="A27" s="3">
        <f t="shared" si="4"/>
        <v>17</v>
      </c>
      <c r="B27" s="3" t="s">
        <v>31</v>
      </c>
      <c r="C27" s="3" t="s">
        <v>69</v>
      </c>
      <c r="D27" s="6">
        <v>6420</v>
      </c>
      <c r="E27" s="101">
        <f t="shared" si="0"/>
        <v>10.03125</v>
      </c>
      <c r="F27" s="3">
        <v>218.4</v>
      </c>
      <c r="G27" s="8">
        <f t="shared" si="1"/>
        <v>131.04</v>
      </c>
      <c r="H27" s="13">
        <v>72</v>
      </c>
      <c r="I27" s="9">
        <v>72</v>
      </c>
      <c r="J27" s="10">
        <v>10</v>
      </c>
      <c r="K27" s="10">
        <v>44</v>
      </c>
      <c r="L27" s="17">
        <f t="shared" si="9"/>
        <v>15.64</v>
      </c>
      <c r="M27" s="17">
        <f t="shared" si="10"/>
        <v>11.6144</v>
      </c>
    </row>
    <row r="28" spans="1:13" x14ac:dyDescent="0.3">
      <c r="A28" s="3">
        <f t="shared" si="4"/>
        <v>18</v>
      </c>
      <c r="B28" s="3" t="s">
        <v>32</v>
      </c>
      <c r="C28" s="3" t="s">
        <v>70</v>
      </c>
      <c r="D28" s="6">
        <v>6700</v>
      </c>
      <c r="E28" s="101">
        <f t="shared" si="0"/>
        <v>10.46875</v>
      </c>
      <c r="F28" s="3">
        <v>268.7</v>
      </c>
      <c r="G28" s="8">
        <f t="shared" si="1"/>
        <v>161.22</v>
      </c>
      <c r="H28" s="10">
        <v>86</v>
      </c>
      <c r="I28" s="271">
        <v>96</v>
      </c>
      <c r="J28" s="10">
        <v>70</v>
      </c>
      <c r="K28" s="10">
        <v>90</v>
      </c>
      <c r="L28" s="17">
        <f t="shared" si="9"/>
        <v>9.16</v>
      </c>
      <c r="M28" s="17">
        <f t="shared" si="10"/>
        <v>7.6399999999999988</v>
      </c>
    </row>
    <row r="29" spans="1:13" x14ac:dyDescent="0.3">
      <c r="A29" s="3">
        <f t="shared" si="4"/>
        <v>19</v>
      </c>
      <c r="B29" s="3" t="s">
        <v>33</v>
      </c>
      <c r="C29" s="3" t="s">
        <v>50</v>
      </c>
      <c r="D29" s="6">
        <v>1798</v>
      </c>
      <c r="E29" s="101">
        <f t="shared" si="0"/>
        <v>2.8093750000000002</v>
      </c>
      <c r="F29" s="3">
        <v>110.7</v>
      </c>
      <c r="G29" s="8">
        <f t="shared" si="1"/>
        <v>66.42</v>
      </c>
      <c r="H29" s="13">
        <v>86</v>
      </c>
      <c r="I29" s="9">
        <v>86</v>
      </c>
      <c r="J29" s="13">
        <v>24</v>
      </c>
      <c r="K29" s="9">
        <v>24</v>
      </c>
      <c r="L29" s="17">
        <f t="shared" si="9"/>
        <v>13.8704</v>
      </c>
      <c r="M29" s="17">
        <f t="shared" si="10"/>
        <v>13.8704</v>
      </c>
    </row>
    <row r="30" spans="1:13" x14ac:dyDescent="0.3">
      <c r="A30" s="57">
        <f t="shared" si="4"/>
        <v>20</v>
      </c>
      <c r="B30" s="57" t="s">
        <v>34</v>
      </c>
      <c r="C30" s="57" t="s">
        <v>51</v>
      </c>
      <c r="D30" s="58">
        <v>1012</v>
      </c>
      <c r="E30" s="103">
        <f t="shared" si="0"/>
        <v>1.58125</v>
      </c>
      <c r="F30" s="57">
        <v>62.9</v>
      </c>
      <c r="G30" s="59">
        <f t="shared" si="1"/>
        <v>37.739999999999995</v>
      </c>
      <c r="H30" s="60">
        <v>86</v>
      </c>
      <c r="I30" s="61">
        <v>86</v>
      </c>
      <c r="J30" s="60">
        <v>10</v>
      </c>
      <c r="K30" s="61">
        <v>10</v>
      </c>
      <c r="L30" s="62">
        <f t="shared" si="9"/>
        <v>15.64</v>
      </c>
      <c r="M30" s="62">
        <f t="shared" si="10"/>
        <v>15.64</v>
      </c>
    </row>
    <row r="31" spans="1:13" x14ac:dyDescent="0.3">
      <c r="A31" s="63" t="s">
        <v>93</v>
      </c>
      <c r="B31" s="54" t="s">
        <v>34</v>
      </c>
      <c r="C31" s="54" t="s">
        <v>51</v>
      </c>
      <c r="D31" s="55">
        <v>1012</v>
      </c>
      <c r="E31" s="104">
        <f t="shared" ref="E31" si="15">D31/640</f>
        <v>1.58125</v>
      </c>
      <c r="F31" s="54">
        <v>62.9</v>
      </c>
      <c r="G31" s="56">
        <f t="shared" ref="G31" si="16">F31*0.6</f>
        <v>37.739999999999995</v>
      </c>
      <c r="H31" s="54">
        <v>86</v>
      </c>
      <c r="I31" s="54">
        <v>86</v>
      </c>
      <c r="J31" s="54">
        <v>10</v>
      </c>
      <c r="K31" s="54">
        <v>10</v>
      </c>
      <c r="L31" s="56">
        <f t="shared" ref="L31" si="17">0.0004*J31^2-0.14*J31+17</f>
        <v>15.64</v>
      </c>
      <c r="M31" s="56">
        <f t="shared" ref="M31" si="18">0.0004*K31^2-0.14*K31+17</f>
        <v>15.64</v>
      </c>
    </row>
    <row r="32" spans="1:13" x14ac:dyDescent="0.3">
      <c r="A32" s="40"/>
      <c r="B32" s="40"/>
      <c r="C32" s="64" t="s">
        <v>52</v>
      </c>
      <c r="D32" s="41">
        <f>SUM(D9:D31)-D20-D24-D31</f>
        <v>88205</v>
      </c>
      <c r="E32" s="105">
        <f t="shared" si="0"/>
        <v>137.8203125</v>
      </c>
      <c r="F32" s="40"/>
      <c r="G32" s="42"/>
      <c r="H32" s="40"/>
      <c r="I32" s="40"/>
      <c r="J32" s="40"/>
      <c r="K32" s="40"/>
      <c r="L32" s="42"/>
      <c r="M32" s="42"/>
    </row>
    <row r="33" spans="1:13" ht="27.75" customHeight="1" x14ac:dyDescent="0.3">
      <c r="A33" s="453" t="s">
        <v>74</v>
      </c>
      <c r="B33" s="454"/>
      <c r="C33" s="454"/>
      <c r="D33" s="454"/>
      <c r="E33" s="454"/>
      <c r="F33" s="454"/>
      <c r="G33" s="454"/>
      <c r="H33" s="454"/>
      <c r="I33" s="454"/>
      <c r="J33" s="454"/>
      <c r="K33" s="454"/>
      <c r="L33" s="454"/>
      <c r="M33" s="454"/>
    </row>
    <row r="34" spans="1:13" x14ac:dyDescent="0.3">
      <c r="A34" s="454"/>
      <c r="B34" s="454"/>
      <c r="C34" s="454"/>
      <c r="D34" s="454"/>
      <c r="E34" s="454"/>
      <c r="F34" s="454"/>
      <c r="G34" s="454"/>
      <c r="H34" s="454"/>
      <c r="I34" s="454"/>
      <c r="J34" s="454"/>
      <c r="K34" s="454"/>
      <c r="L34" s="454"/>
      <c r="M34" s="454"/>
    </row>
    <row r="35" spans="1:13" x14ac:dyDescent="0.3">
      <c r="A35" s="454"/>
      <c r="B35" s="454"/>
      <c r="C35" s="454"/>
      <c r="D35" s="454"/>
      <c r="E35" s="454"/>
      <c r="F35" s="454"/>
      <c r="G35" s="454"/>
      <c r="H35" s="454"/>
      <c r="I35" s="454"/>
      <c r="J35" s="454"/>
      <c r="K35" s="454"/>
      <c r="L35" s="454"/>
      <c r="M35" s="454"/>
    </row>
    <row r="36" spans="1:13" ht="15" customHeight="1" x14ac:dyDescent="0.3">
      <c r="A36" s="32" t="s">
        <v>67</v>
      </c>
      <c r="B36" s="33"/>
      <c r="C36" s="33"/>
      <c r="D36" s="33"/>
      <c r="E36" s="106"/>
      <c r="F36" s="33"/>
      <c r="G36" s="33"/>
      <c r="H36" s="33"/>
      <c r="I36" s="33"/>
      <c r="J36" s="33"/>
      <c r="K36" s="33"/>
      <c r="L36" s="33"/>
      <c r="M36" s="33"/>
    </row>
    <row r="37" spans="1:13" ht="15.75" customHeight="1" x14ac:dyDescent="0.3">
      <c r="A37" s="52" t="s">
        <v>88</v>
      </c>
      <c r="B37" s="52"/>
      <c r="C37" s="52"/>
      <c r="D37" s="52"/>
      <c r="E37" s="107"/>
      <c r="F37" s="52"/>
      <c r="G37" s="52"/>
      <c r="H37" s="52"/>
      <c r="I37" s="52"/>
      <c r="J37" s="52"/>
      <c r="K37" s="52"/>
      <c r="L37" s="52"/>
      <c r="M37" s="52"/>
    </row>
    <row r="38" spans="1:13" ht="15.75" customHeight="1" x14ac:dyDescent="0.3">
      <c r="A38" s="52" t="s">
        <v>90</v>
      </c>
      <c r="B38" s="52"/>
      <c r="C38" s="52"/>
      <c r="D38" s="52"/>
      <c r="E38" s="107"/>
      <c r="F38" s="52"/>
      <c r="G38" s="52"/>
      <c r="H38" s="52"/>
      <c r="I38" s="52"/>
      <c r="J38" s="52"/>
      <c r="K38" s="52"/>
      <c r="L38" s="52"/>
      <c r="M38" s="52"/>
    </row>
    <row r="39" spans="1:13" ht="15.75" customHeight="1" x14ac:dyDescent="0.3">
      <c r="A39" s="52" t="s">
        <v>87</v>
      </c>
      <c r="B39" s="52"/>
      <c r="C39" s="52"/>
      <c r="D39" s="52"/>
      <c r="E39" s="107"/>
      <c r="F39" s="52"/>
      <c r="G39" s="52"/>
      <c r="H39" s="52"/>
      <c r="I39" s="52"/>
      <c r="J39" s="52"/>
      <c r="K39" s="52"/>
      <c r="L39" s="52"/>
      <c r="M39" s="52"/>
    </row>
    <row r="40" spans="1:13" ht="15.75" customHeight="1" x14ac:dyDescent="0.3">
      <c r="A40" s="52" t="s">
        <v>89</v>
      </c>
      <c r="B40" s="52"/>
      <c r="C40" s="52"/>
      <c r="D40" s="52"/>
      <c r="E40" s="107"/>
      <c r="F40" s="52"/>
      <c r="G40" s="52"/>
      <c r="H40" s="52"/>
      <c r="I40" s="52"/>
      <c r="J40" s="52"/>
      <c r="K40" s="52"/>
      <c r="L40" s="52"/>
      <c r="M40" s="52"/>
    </row>
    <row r="41" spans="1:13" x14ac:dyDescent="0.3">
      <c r="A41" s="453" t="s">
        <v>92</v>
      </c>
      <c r="B41" s="453"/>
      <c r="C41" s="453"/>
      <c r="D41" s="453"/>
      <c r="E41" s="453"/>
      <c r="F41" s="453"/>
      <c r="G41" s="453"/>
      <c r="H41" s="453"/>
      <c r="I41" s="453"/>
      <c r="J41" s="453"/>
      <c r="K41" s="453"/>
      <c r="L41" s="453"/>
      <c r="M41" s="453"/>
    </row>
    <row r="42" spans="1:13" x14ac:dyDescent="0.3">
      <c r="A42" s="453"/>
      <c r="B42" s="453"/>
      <c r="C42" s="453"/>
      <c r="D42" s="453"/>
      <c r="E42" s="453"/>
      <c r="F42" s="453"/>
      <c r="G42" s="453"/>
      <c r="H42" s="453"/>
      <c r="I42" s="453"/>
      <c r="J42" s="453"/>
      <c r="K42" s="453"/>
      <c r="L42" s="453"/>
      <c r="M42" s="453"/>
    </row>
    <row r="43" spans="1:13" ht="25.5" x14ac:dyDescent="0.3">
      <c r="A43" s="34"/>
      <c r="B43" s="34"/>
      <c r="C43" s="53" t="s">
        <v>60</v>
      </c>
      <c r="D43" s="35" t="s">
        <v>65</v>
      </c>
      <c r="E43" s="108" t="s">
        <v>64</v>
      </c>
      <c r="F43" s="34"/>
      <c r="G43" s="36"/>
      <c r="H43" s="34"/>
      <c r="I43" s="34"/>
      <c r="J43" s="34"/>
      <c r="K43" s="34"/>
      <c r="L43" s="36"/>
      <c r="M43" s="36"/>
    </row>
    <row r="44" spans="1:13" x14ac:dyDescent="0.3">
      <c r="A44" s="34"/>
      <c r="B44" s="34"/>
      <c r="C44" s="37" t="s">
        <v>13</v>
      </c>
      <c r="D44" s="38" t="s">
        <v>12</v>
      </c>
      <c r="E44" s="109" t="s">
        <v>12</v>
      </c>
      <c r="F44" s="34"/>
      <c r="G44" s="36"/>
      <c r="H44" s="34"/>
      <c r="I44" s="34"/>
      <c r="J44" s="34"/>
      <c r="K44" s="34"/>
      <c r="L44" s="36"/>
      <c r="M44" s="36"/>
    </row>
    <row r="45" spans="1:13" x14ac:dyDescent="0.3">
      <c r="A45" s="34"/>
      <c r="B45" s="34"/>
      <c r="C45" s="50" t="s">
        <v>81</v>
      </c>
      <c r="D45" s="39">
        <v>0</v>
      </c>
      <c r="E45" s="110">
        <v>17</v>
      </c>
      <c r="F45" s="34"/>
      <c r="G45" s="36"/>
      <c r="H45" s="34"/>
      <c r="I45" s="34"/>
      <c r="J45" s="34"/>
      <c r="K45" s="34"/>
      <c r="L45" s="36"/>
      <c r="M45" s="36"/>
    </row>
    <row r="46" spans="1:13" x14ac:dyDescent="0.3">
      <c r="A46" s="34"/>
      <c r="B46" s="34"/>
      <c r="C46" s="50" t="s">
        <v>82</v>
      </c>
      <c r="D46" s="39">
        <v>50</v>
      </c>
      <c r="E46" s="110">
        <v>11</v>
      </c>
      <c r="F46" s="34"/>
      <c r="G46" s="36"/>
      <c r="H46" s="34"/>
      <c r="I46" s="34"/>
      <c r="J46" s="34"/>
      <c r="K46" s="34"/>
      <c r="L46" s="36"/>
      <c r="M46" s="36"/>
    </row>
    <row r="47" spans="1:13" x14ac:dyDescent="0.3">
      <c r="A47" s="34"/>
      <c r="B47" s="34"/>
      <c r="C47" s="51" t="s">
        <v>83</v>
      </c>
      <c r="D47" s="38">
        <v>100</v>
      </c>
      <c r="E47" s="109">
        <v>7</v>
      </c>
      <c r="F47" s="34"/>
      <c r="G47" s="36"/>
      <c r="H47" s="34"/>
      <c r="I47" s="34"/>
      <c r="J47" s="34"/>
      <c r="K47" s="34"/>
      <c r="L47" s="36"/>
      <c r="M47" s="36"/>
    </row>
    <row r="48" spans="1:13" x14ac:dyDescent="0.3">
      <c r="A48" s="34"/>
      <c r="B48" s="34"/>
      <c r="C48" s="50" t="s">
        <v>84</v>
      </c>
      <c r="D48" s="39">
        <v>0</v>
      </c>
      <c r="E48" s="110">
        <v>10</v>
      </c>
      <c r="F48" s="34" t="s">
        <v>91</v>
      </c>
      <c r="G48" s="36"/>
      <c r="H48" s="34"/>
      <c r="I48" s="34"/>
      <c r="J48" s="34"/>
      <c r="K48" s="34"/>
      <c r="L48" s="36"/>
      <c r="M48" s="36"/>
    </row>
    <row r="49" spans="1:13" x14ac:dyDescent="0.3">
      <c r="A49" s="34"/>
      <c r="B49" s="34"/>
      <c r="C49" s="50" t="s">
        <v>85</v>
      </c>
      <c r="D49" s="39">
        <v>50</v>
      </c>
      <c r="E49" s="110">
        <v>8</v>
      </c>
      <c r="F49" s="34"/>
      <c r="G49" s="36"/>
      <c r="H49" s="34"/>
      <c r="I49" s="34"/>
      <c r="J49" s="34"/>
      <c r="K49" s="34"/>
      <c r="L49" s="36"/>
      <c r="M49" s="36"/>
    </row>
    <row r="50" spans="1:13" x14ac:dyDescent="0.3">
      <c r="A50" s="34"/>
      <c r="B50" s="34"/>
      <c r="C50" s="51" t="s">
        <v>86</v>
      </c>
      <c r="D50" s="38">
        <v>100</v>
      </c>
      <c r="E50" s="109">
        <v>7</v>
      </c>
      <c r="F50" s="34"/>
      <c r="G50" s="36"/>
      <c r="H50" s="34"/>
      <c r="I50" s="34"/>
      <c r="J50" s="34"/>
      <c r="K50" s="34"/>
      <c r="L50" s="36"/>
      <c r="M50" s="36"/>
    </row>
  </sheetData>
  <mergeCells count="2">
    <mergeCell ref="A41:M42"/>
    <mergeCell ref="A33:M35"/>
  </mergeCells>
  <printOptions gridLines="1"/>
  <pageMargins left="1.95" right="0.7" top="0.75" bottom="0.75" header="0.3" footer="0.3"/>
  <pageSetup paperSize="3" scale="78" orientation="landscape" r:id="rId1"/>
  <headerFooter>
    <oddHeader>&amp;LSmith Engineering Company&amp;R&amp;D</oddHeader>
    <oddFooter>&amp;L&amp;"Arial Narrow,Regular"&amp;9&amp;Z&amp;F&amp;A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7"/>
  <sheetViews>
    <sheetView workbookViewId="0">
      <selection activeCell="B16" sqref="B16"/>
    </sheetView>
  </sheetViews>
  <sheetFormatPr defaultRowHeight="16.5" x14ac:dyDescent="0.3"/>
  <cols>
    <col min="1" max="1" width="15" style="1" customWidth="1"/>
    <col min="2" max="2" width="13.42578125" style="1" customWidth="1"/>
    <col min="3" max="16384" width="9.140625" style="1"/>
  </cols>
  <sheetData>
    <row r="1" spans="1:8" x14ac:dyDescent="0.3">
      <c r="A1" s="1" t="s">
        <v>0</v>
      </c>
    </row>
    <row r="3" spans="1:8" x14ac:dyDescent="0.3">
      <c r="A3" s="1" t="s">
        <v>77</v>
      </c>
    </row>
    <row r="4" spans="1:8" x14ac:dyDescent="0.3">
      <c r="A4" s="1" t="s">
        <v>78</v>
      </c>
    </row>
    <row r="8" spans="1:8" ht="49.5" x14ac:dyDescent="0.3">
      <c r="A8" s="2" t="s">
        <v>60</v>
      </c>
      <c r="B8" s="2" t="s">
        <v>57</v>
      </c>
      <c r="C8" s="2" t="s">
        <v>9</v>
      </c>
      <c r="D8" s="2"/>
      <c r="E8" s="2"/>
      <c r="F8" s="2"/>
      <c r="G8" s="2"/>
    </row>
    <row r="9" spans="1:8" x14ac:dyDescent="0.3">
      <c r="A9" s="1" t="s">
        <v>13</v>
      </c>
      <c r="B9" s="3" t="s">
        <v>12</v>
      </c>
      <c r="C9" s="3" t="s">
        <v>12</v>
      </c>
      <c r="D9" s="3"/>
      <c r="E9" s="3"/>
      <c r="F9" s="3"/>
      <c r="G9" s="3"/>
      <c r="H9" s="3"/>
    </row>
    <row r="10" spans="1:8" x14ac:dyDescent="0.3">
      <c r="B10" s="3"/>
      <c r="C10" s="3"/>
      <c r="D10" s="3"/>
      <c r="E10" s="3"/>
      <c r="F10" s="3"/>
      <c r="G10" s="3"/>
      <c r="H10" s="3"/>
    </row>
    <row r="11" spans="1:8" x14ac:dyDescent="0.3">
      <c r="A11" s="1" t="s">
        <v>59</v>
      </c>
      <c r="B11" s="3">
        <v>0</v>
      </c>
      <c r="C11" s="3">
        <v>17</v>
      </c>
      <c r="D11" s="3"/>
      <c r="E11" s="3"/>
      <c r="F11" s="3"/>
      <c r="G11" s="3"/>
      <c r="H11" s="3"/>
    </row>
    <row r="12" spans="1:8" x14ac:dyDescent="0.3">
      <c r="A12" s="1" t="s">
        <v>58</v>
      </c>
      <c r="B12" s="3">
        <v>50</v>
      </c>
      <c r="C12" s="3">
        <v>11</v>
      </c>
      <c r="D12" s="3"/>
      <c r="E12" s="3"/>
      <c r="F12" s="3"/>
      <c r="G12" s="3"/>
      <c r="H12" s="3"/>
    </row>
    <row r="13" spans="1:8" x14ac:dyDescent="0.3">
      <c r="A13" s="1" t="s">
        <v>61</v>
      </c>
      <c r="B13" s="3">
        <v>100</v>
      </c>
      <c r="C13" s="3">
        <v>7</v>
      </c>
      <c r="D13" s="3"/>
      <c r="E13" s="3"/>
      <c r="F13" s="3"/>
      <c r="G13" s="3"/>
      <c r="H13" s="3"/>
    </row>
    <row r="14" spans="1:8" x14ac:dyDescent="0.3">
      <c r="B14" s="3"/>
      <c r="C14" s="3"/>
      <c r="D14" s="3"/>
      <c r="E14" s="3"/>
      <c r="F14" s="3"/>
      <c r="G14" s="3"/>
      <c r="H14" s="3"/>
    </row>
    <row r="15" spans="1:8" x14ac:dyDescent="0.3">
      <c r="B15" s="3"/>
      <c r="C15" s="3"/>
      <c r="D15" s="3"/>
      <c r="E15" s="3"/>
      <c r="F15" s="3"/>
      <c r="G15" s="3"/>
      <c r="H15" s="3"/>
    </row>
    <row r="16" spans="1:8" x14ac:dyDescent="0.3">
      <c r="B16" s="3"/>
      <c r="C16" s="3"/>
      <c r="D16" s="3"/>
      <c r="E16" s="3"/>
      <c r="F16" s="3"/>
      <c r="G16" s="3"/>
      <c r="H16" s="3"/>
    </row>
    <row r="17" spans="2:8" x14ac:dyDescent="0.3">
      <c r="B17" s="3"/>
      <c r="C17" s="3"/>
      <c r="D17" s="3"/>
      <c r="E17" s="3"/>
      <c r="F17" s="3"/>
      <c r="G17" s="3"/>
      <c r="H17" s="3"/>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0"/>
  <sheetViews>
    <sheetView workbookViewId="0">
      <selection activeCell="J31" sqref="J31"/>
    </sheetView>
  </sheetViews>
  <sheetFormatPr defaultRowHeight="16.5" x14ac:dyDescent="0.3"/>
  <cols>
    <col min="1" max="2" width="9.140625" style="1"/>
    <col min="3" max="3" width="10.85546875" style="1" customWidth="1"/>
    <col min="4" max="4" width="12.28515625" style="1" customWidth="1"/>
    <col min="5" max="5" width="11.28515625" style="1" customWidth="1"/>
    <col min="6" max="6" width="11.85546875" style="1" customWidth="1"/>
    <col min="7" max="16384" width="9.140625" style="1"/>
  </cols>
  <sheetData>
    <row r="1" spans="1:8" x14ac:dyDescent="0.3">
      <c r="A1" s="66" t="s">
        <v>95</v>
      </c>
    </row>
    <row r="2" spans="1:8" x14ac:dyDescent="0.3">
      <c r="A2" s="66"/>
    </row>
    <row r="3" spans="1:8" x14ac:dyDescent="0.3">
      <c r="A3" s="66" t="s">
        <v>96</v>
      </c>
    </row>
    <row r="4" spans="1:8" x14ac:dyDescent="0.3">
      <c r="A4" s="66" t="s">
        <v>97</v>
      </c>
    </row>
    <row r="6" spans="1:8" x14ac:dyDescent="0.3">
      <c r="A6" s="1" t="s">
        <v>98</v>
      </c>
    </row>
    <row r="8" spans="1:8" ht="66" x14ac:dyDescent="0.3">
      <c r="A8" s="2" t="s">
        <v>73</v>
      </c>
      <c r="B8" s="2" t="s">
        <v>99</v>
      </c>
      <c r="C8" s="2" t="s">
        <v>101</v>
      </c>
      <c r="D8" s="2" t="s">
        <v>102</v>
      </c>
      <c r="E8" s="2" t="s">
        <v>103</v>
      </c>
      <c r="F8" s="2" t="s">
        <v>104</v>
      </c>
      <c r="G8" s="2"/>
      <c r="H8" s="2"/>
    </row>
    <row r="10" spans="1:8" x14ac:dyDescent="0.3">
      <c r="B10" s="1" t="s">
        <v>100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36"/>
  <sheetViews>
    <sheetView topLeftCell="B1" zoomScale="120" zoomScaleNormal="120" workbookViewId="0">
      <selection activeCell="V17" sqref="V17"/>
    </sheetView>
  </sheetViews>
  <sheetFormatPr defaultRowHeight="12.75" x14ac:dyDescent="0.2"/>
  <cols>
    <col min="1" max="1" width="18.5703125" style="65" customWidth="1"/>
    <col min="2" max="2" width="4.7109375" style="76" customWidth="1"/>
    <col min="3" max="3" width="5.5703125" style="76" customWidth="1"/>
    <col min="4" max="4" width="12" style="65" customWidth="1"/>
    <col min="5" max="5" width="9.85546875" style="76" customWidth="1"/>
    <col min="6" max="6" width="9.85546875" style="65" customWidth="1"/>
    <col min="7" max="10" width="9.28515625" style="65" customWidth="1"/>
    <col min="11" max="15" width="9.28515625" style="116" customWidth="1"/>
    <col min="16" max="19" width="9.28515625" style="65" customWidth="1"/>
    <col min="20" max="23" width="9.28515625" style="86" customWidth="1"/>
    <col min="24" max="16384" width="9.140625" style="65"/>
  </cols>
  <sheetData>
    <row r="1" spans="1:23" ht="15.75" x14ac:dyDescent="0.2">
      <c r="A1" s="131" t="s">
        <v>95</v>
      </c>
      <c r="B1" s="131"/>
      <c r="C1" s="131"/>
      <c r="D1" s="131"/>
      <c r="E1" s="132"/>
      <c r="F1" s="132"/>
      <c r="G1" s="132"/>
      <c r="H1" s="132"/>
      <c r="I1" s="132"/>
      <c r="J1" s="132"/>
      <c r="K1" s="133"/>
      <c r="L1" s="133"/>
      <c r="M1" s="133"/>
      <c r="N1" s="133"/>
      <c r="O1" s="133"/>
      <c r="P1" s="132"/>
      <c r="Q1" s="132"/>
      <c r="R1" s="132"/>
      <c r="S1" s="132"/>
      <c r="T1" s="134"/>
      <c r="U1" s="134"/>
      <c r="V1" s="134"/>
      <c r="W1" s="134"/>
    </row>
    <row r="2" spans="1:23" ht="7.5" customHeight="1" x14ac:dyDescent="0.2">
      <c r="A2" s="131"/>
      <c r="B2" s="131"/>
      <c r="C2" s="131"/>
      <c r="D2" s="131"/>
      <c r="E2" s="132"/>
      <c r="F2" s="132"/>
      <c r="G2" s="132"/>
      <c r="H2" s="132"/>
      <c r="I2" s="132"/>
      <c r="J2" s="132"/>
      <c r="K2" s="133"/>
      <c r="L2" s="133"/>
      <c r="M2" s="133"/>
      <c r="N2" s="133"/>
      <c r="O2" s="133"/>
      <c r="P2" s="132"/>
      <c r="Q2" s="132"/>
      <c r="R2" s="132"/>
      <c r="S2" s="132"/>
      <c r="T2" s="134"/>
      <c r="U2" s="134"/>
      <c r="V2" s="134"/>
      <c r="W2" s="134"/>
    </row>
    <row r="3" spans="1:23" ht="15.75" x14ac:dyDescent="0.2">
      <c r="A3" s="131" t="s">
        <v>147</v>
      </c>
      <c r="B3" s="131"/>
      <c r="C3" s="131"/>
      <c r="D3" s="131"/>
      <c r="E3" s="132"/>
      <c r="F3" s="132"/>
      <c r="G3" s="132"/>
      <c r="H3" s="132"/>
      <c r="I3" s="132"/>
      <c r="J3" s="132"/>
      <c r="K3" s="133"/>
      <c r="L3" s="133"/>
      <c r="M3" s="133"/>
      <c r="N3" s="133"/>
      <c r="O3" s="133"/>
      <c r="P3" s="132"/>
      <c r="Q3" s="132"/>
      <c r="R3" s="132"/>
      <c r="S3" s="132"/>
      <c r="T3" s="134"/>
      <c r="U3" s="134"/>
      <c r="V3" s="134"/>
      <c r="W3" s="134"/>
    </row>
    <row r="4" spans="1:23" ht="15.75" x14ac:dyDescent="0.2">
      <c r="A4" s="152"/>
      <c r="B4" s="153"/>
      <c r="C4" s="153"/>
      <c r="D4" s="152"/>
      <c r="E4" s="170"/>
      <c r="F4" s="171"/>
      <c r="G4" s="171"/>
      <c r="H4" s="171"/>
      <c r="I4" s="171"/>
      <c r="J4" s="171"/>
      <c r="K4" s="174"/>
      <c r="L4" s="174"/>
      <c r="M4" s="174"/>
      <c r="N4" s="174"/>
      <c r="O4" s="174"/>
      <c r="P4" s="171"/>
      <c r="Q4" s="172" t="s">
        <v>133</v>
      </c>
      <c r="R4" s="171"/>
      <c r="S4" s="171"/>
      <c r="T4" s="173"/>
      <c r="U4" s="173"/>
      <c r="V4" s="173"/>
      <c r="W4" s="173"/>
    </row>
    <row r="5" spans="1:23" ht="51" x14ac:dyDescent="0.2">
      <c r="A5" s="131"/>
      <c r="B5" s="138"/>
      <c r="C5" s="138"/>
      <c r="D5" s="131"/>
      <c r="E5" s="211" t="s">
        <v>152</v>
      </c>
      <c r="F5" s="194" t="s">
        <v>149</v>
      </c>
      <c r="G5" s="212" t="s">
        <v>150</v>
      </c>
      <c r="H5" s="194"/>
      <c r="I5" s="194"/>
      <c r="J5" s="194"/>
      <c r="K5" s="212" t="s">
        <v>157</v>
      </c>
      <c r="L5" s="194" t="s">
        <v>158</v>
      </c>
      <c r="M5" s="212" t="s">
        <v>159</v>
      </c>
      <c r="N5" s="194"/>
      <c r="O5" s="194"/>
      <c r="P5" s="194">
        <v>15</v>
      </c>
      <c r="Q5" s="194">
        <v>16</v>
      </c>
      <c r="R5" s="194">
        <v>17</v>
      </c>
      <c r="S5" s="195">
        <v>18</v>
      </c>
      <c r="T5" s="194">
        <v>19</v>
      </c>
      <c r="U5" s="212" t="s">
        <v>162</v>
      </c>
      <c r="V5" s="194" t="s">
        <v>171</v>
      </c>
      <c r="W5" s="212" t="s">
        <v>163</v>
      </c>
    </row>
    <row r="6" spans="1:23" ht="63.75" x14ac:dyDescent="0.2">
      <c r="A6" s="175" t="s">
        <v>160</v>
      </c>
      <c r="B6" s="70" t="s">
        <v>142</v>
      </c>
      <c r="C6" s="70" t="s">
        <v>131</v>
      </c>
      <c r="D6" s="70" t="s">
        <v>139</v>
      </c>
      <c r="E6" s="71" t="s">
        <v>143</v>
      </c>
      <c r="F6" s="70" t="s">
        <v>143</v>
      </c>
      <c r="G6" s="70" t="s">
        <v>143</v>
      </c>
      <c r="H6" s="70"/>
      <c r="I6" s="70"/>
      <c r="J6" s="70"/>
      <c r="K6" s="70" t="s">
        <v>143</v>
      </c>
      <c r="L6" s="70" t="s">
        <v>143</v>
      </c>
      <c r="M6" s="70" t="s">
        <v>143</v>
      </c>
      <c r="N6" s="70"/>
      <c r="O6" s="70"/>
      <c r="P6" s="70" t="s">
        <v>143</v>
      </c>
      <c r="Q6" s="70" t="s">
        <v>143</v>
      </c>
      <c r="R6" s="70" t="s">
        <v>143</v>
      </c>
      <c r="S6" s="70" t="s">
        <v>143</v>
      </c>
      <c r="T6" s="70" t="s">
        <v>143</v>
      </c>
      <c r="U6" s="70" t="s">
        <v>143</v>
      </c>
      <c r="V6" s="70" t="s">
        <v>143</v>
      </c>
      <c r="W6" s="70" t="s">
        <v>143</v>
      </c>
    </row>
    <row r="7" spans="1:23" x14ac:dyDescent="0.2">
      <c r="A7" s="176"/>
      <c r="B7" s="87"/>
      <c r="C7" s="87"/>
      <c r="D7" s="87"/>
      <c r="E7" s="147" t="s">
        <v>12</v>
      </c>
      <c r="F7" s="87" t="s">
        <v>12</v>
      </c>
      <c r="G7" s="87" t="s">
        <v>12</v>
      </c>
      <c r="H7" s="87"/>
      <c r="I7" s="87"/>
      <c r="J7" s="87"/>
      <c r="K7" s="87" t="s">
        <v>12</v>
      </c>
      <c r="L7" s="87" t="s">
        <v>12</v>
      </c>
      <c r="M7" s="87" t="s">
        <v>12</v>
      </c>
      <c r="N7" s="87"/>
      <c r="O7" s="87"/>
      <c r="P7" s="87" t="s">
        <v>12</v>
      </c>
      <c r="Q7" s="87" t="s">
        <v>12</v>
      </c>
      <c r="R7" s="87" t="s">
        <v>12</v>
      </c>
      <c r="S7" s="87" t="s">
        <v>12</v>
      </c>
      <c r="T7" s="87" t="s">
        <v>12</v>
      </c>
      <c r="U7" s="87" t="s">
        <v>12</v>
      </c>
      <c r="V7" s="87" t="s">
        <v>12</v>
      </c>
      <c r="W7" s="87" t="s">
        <v>12</v>
      </c>
    </row>
    <row r="8" spans="1:23" x14ac:dyDescent="0.2">
      <c r="A8" s="177"/>
      <c r="B8" s="74"/>
      <c r="C8" s="74"/>
      <c r="D8" s="74" t="s">
        <v>63</v>
      </c>
      <c r="E8" s="75" t="s">
        <v>136</v>
      </c>
      <c r="F8" s="74" t="s">
        <v>136</v>
      </c>
      <c r="G8" s="74" t="s">
        <v>136</v>
      </c>
      <c r="H8" s="74"/>
      <c r="I8" s="74"/>
      <c r="J8" s="74"/>
      <c r="K8" s="74" t="s">
        <v>136</v>
      </c>
      <c r="L8" s="74" t="s">
        <v>136</v>
      </c>
      <c r="M8" s="74" t="s">
        <v>136</v>
      </c>
      <c r="N8" s="74"/>
      <c r="O8" s="74"/>
      <c r="P8" s="74" t="s">
        <v>136</v>
      </c>
      <c r="Q8" s="74" t="s">
        <v>136</v>
      </c>
      <c r="R8" s="74" t="s">
        <v>136</v>
      </c>
      <c r="S8" s="74" t="s">
        <v>136</v>
      </c>
      <c r="T8" s="74" t="s">
        <v>136</v>
      </c>
      <c r="U8" s="74" t="s">
        <v>136</v>
      </c>
      <c r="V8" s="74" t="s">
        <v>136</v>
      </c>
      <c r="W8" s="74" t="s">
        <v>136</v>
      </c>
    </row>
    <row r="9" spans="1:23" x14ac:dyDescent="0.2">
      <c r="A9" s="178" t="s">
        <v>107</v>
      </c>
      <c r="B9" s="180" t="s">
        <v>62</v>
      </c>
      <c r="C9" s="180" t="s">
        <v>12</v>
      </c>
      <c r="D9" s="181">
        <v>80</v>
      </c>
      <c r="E9" s="182">
        <v>0</v>
      </c>
      <c r="F9" s="183">
        <v>0</v>
      </c>
      <c r="G9" s="196" t="s">
        <v>117</v>
      </c>
      <c r="H9" s="183"/>
      <c r="I9" s="183"/>
      <c r="J9" s="183"/>
      <c r="K9" s="183">
        <v>0</v>
      </c>
      <c r="L9" s="183">
        <v>0</v>
      </c>
      <c r="M9" s="196" t="s">
        <v>117</v>
      </c>
      <c r="N9" s="183"/>
      <c r="O9" s="183"/>
      <c r="P9" s="183">
        <v>0</v>
      </c>
      <c r="Q9" s="183">
        <v>0</v>
      </c>
      <c r="R9" s="183">
        <v>0</v>
      </c>
      <c r="S9" s="183">
        <v>0</v>
      </c>
      <c r="T9" s="183">
        <v>0</v>
      </c>
      <c r="U9" s="183">
        <v>0</v>
      </c>
      <c r="V9" s="183">
        <v>0</v>
      </c>
      <c r="W9" s="196" t="s">
        <v>117</v>
      </c>
    </row>
    <row r="10" spans="1:23" x14ac:dyDescent="0.2">
      <c r="A10" s="178" t="s">
        <v>108</v>
      </c>
      <c r="B10" s="180" t="s">
        <v>62</v>
      </c>
      <c r="C10" s="180" t="s">
        <v>12</v>
      </c>
      <c r="D10" s="181">
        <v>90</v>
      </c>
      <c r="E10" s="182">
        <v>0</v>
      </c>
      <c r="F10" s="183">
        <v>0</v>
      </c>
      <c r="G10" s="196" t="s">
        <v>117</v>
      </c>
      <c r="H10" s="183"/>
      <c r="I10" s="183"/>
      <c r="J10" s="183"/>
      <c r="K10" s="183">
        <v>0</v>
      </c>
      <c r="L10" s="183">
        <v>0</v>
      </c>
      <c r="M10" s="196" t="s">
        <v>117</v>
      </c>
      <c r="N10" s="183"/>
      <c r="O10" s="183"/>
      <c r="P10" s="183">
        <v>0</v>
      </c>
      <c r="Q10" s="183">
        <v>0</v>
      </c>
      <c r="R10" s="183">
        <v>0</v>
      </c>
      <c r="S10" s="183">
        <v>0</v>
      </c>
      <c r="T10" s="183">
        <v>0</v>
      </c>
      <c r="U10" s="183">
        <v>0</v>
      </c>
      <c r="V10" s="183">
        <v>0</v>
      </c>
      <c r="W10" s="196" t="s">
        <v>117</v>
      </c>
    </row>
    <row r="11" spans="1:23" x14ac:dyDescent="0.2">
      <c r="A11" s="178" t="s">
        <v>109</v>
      </c>
      <c r="B11" s="180" t="s">
        <v>62</v>
      </c>
      <c r="C11" s="180" t="s">
        <v>12</v>
      </c>
      <c r="D11" s="181">
        <v>70</v>
      </c>
      <c r="E11" s="182">
        <v>0</v>
      </c>
      <c r="F11" s="183">
        <v>0</v>
      </c>
      <c r="G11" s="196" t="s">
        <v>117</v>
      </c>
      <c r="H11" s="183"/>
      <c r="I11" s="183"/>
      <c r="J11" s="183"/>
      <c r="K11" s="183">
        <v>0</v>
      </c>
      <c r="L11" s="183">
        <v>0</v>
      </c>
      <c r="M11" s="196" t="s">
        <v>117</v>
      </c>
      <c r="N11" s="183"/>
      <c r="O11" s="183"/>
      <c r="P11" s="183">
        <v>0</v>
      </c>
      <c r="Q11" s="183">
        <v>0</v>
      </c>
      <c r="R11" s="183">
        <v>0</v>
      </c>
      <c r="S11" s="183">
        <v>0</v>
      </c>
      <c r="T11" s="183">
        <v>0</v>
      </c>
      <c r="U11" s="183">
        <v>0</v>
      </c>
      <c r="V11" s="183">
        <v>0</v>
      </c>
      <c r="W11" s="196" t="s">
        <v>117</v>
      </c>
    </row>
    <row r="12" spans="1:23" x14ac:dyDescent="0.2">
      <c r="A12" s="178" t="s">
        <v>110</v>
      </c>
      <c r="B12" s="180" t="s">
        <v>62</v>
      </c>
      <c r="C12" s="180" t="s">
        <v>12</v>
      </c>
      <c r="D12" s="181">
        <v>57</v>
      </c>
      <c r="E12" s="182">
        <v>1</v>
      </c>
      <c r="F12" s="183">
        <v>70</v>
      </c>
      <c r="G12" s="196" t="s">
        <v>117</v>
      </c>
      <c r="H12" s="183"/>
      <c r="I12" s="183"/>
      <c r="J12" s="183"/>
      <c r="K12" s="183">
        <v>70</v>
      </c>
      <c r="L12" s="183">
        <v>0</v>
      </c>
      <c r="M12" s="196" t="s">
        <v>117</v>
      </c>
      <c r="N12" s="183"/>
      <c r="O12" s="183"/>
      <c r="P12" s="183">
        <v>70</v>
      </c>
      <c r="Q12" s="183">
        <v>70</v>
      </c>
      <c r="R12" s="183">
        <v>70</v>
      </c>
      <c r="S12" s="183">
        <v>70</v>
      </c>
      <c r="T12" s="183">
        <v>70</v>
      </c>
      <c r="U12" s="183">
        <v>70</v>
      </c>
      <c r="V12" s="183">
        <v>0</v>
      </c>
      <c r="W12" s="196" t="s">
        <v>117</v>
      </c>
    </row>
    <row r="13" spans="1:23" x14ac:dyDescent="0.2">
      <c r="A13" s="178" t="s">
        <v>111</v>
      </c>
      <c r="B13" s="180" t="s">
        <v>62</v>
      </c>
      <c r="C13" s="180" t="s">
        <v>12</v>
      </c>
      <c r="D13" s="181">
        <v>7</v>
      </c>
      <c r="E13" s="182">
        <v>0</v>
      </c>
      <c r="F13" s="183">
        <v>10</v>
      </c>
      <c r="G13" s="196" t="s">
        <v>117</v>
      </c>
      <c r="H13" s="183"/>
      <c r="I13" s="183"/>
      <c r="J13" s="183"/>
      <c r="K13" s="183">
        <v>10</v>
      </c>
      <c r="L13" s="183">
        <v>0</v>
      </c>
      <c r="M13" s="196" t="s">
        <v>117</v>
      </c>
      <c r="N13" s="183"/>
      <c r="O13" s="183"/>
      <c r="P13" s="183">
        <v>10</v>
      </c>
      <c r="Q13" s="183">
        <v>10</v>
      </c>
      <c r="R13" s="183">
        <v>10</v>
      </c>
      <c r="S13" s="183">
        <v>10</v>
      </c>
      <c r="T13" s="183">
        <v>10</v>
      </c>
      <c r="U13" s="183">
        <v>10</v>
      </c>
      <c r="V13" s="183">
        <v>0</v>
      </c>
      <c r="W13" s="196" t="s">
        <v>117</v>
      </c>
    </row>
    <row r="14" spans="1:23" x14ac:dyDescent="0.2">
      <c r="A14" s="178" t="s">
        <v>112</v>
      </c>
      <c r="B14" s="180" t="s">
        <v>62</v>
      </c>
      <c r="C14" s="180" t="s">
        <v>12</v>
      </c>
      <c r="D14" s="181">
        <v>90</v>
      </c>
      <c r="E14" s="182">
        <v>1</v>
      </c>
      <c r="F14" s="183">
        <v>10</v>
      </c>
      <c r="G14" s="196" t="s">
        <v>117</v>
      </c>
      <c r="H14" s="183"/>
      <c r="I14" s="183"/>
      <c r="J14" s="183"/>
      <c r="K14" s="183">
        <v>10</v>
      </c>
      <c r="L14" s="183">
        <v>95</v>
      </c>
      <c r="M14" s="196" t="s">
        <v>117</v>
      </c>
      <c r="N14" s="183"/>
      <c r="O14" s="183"/>
      <c r="P14" s="183">
        <v>10</v>
      </c>
      <c r="Q14" s="183">
        <v>10</v>
      </c>
      <c r="R14" s="183">
        <v>10</v>
      </c>
      <c r="S14" s="183">
        <v>10</v>
      </c>
      <c r="T14" s="183">
        <v>10</v>
      </c>
      <c r="U14" s="183">
        <v>10</v>
      </c>
      <c r="V14" s="183">
        <v>95</v>
      </c>
      <c r="W14" s="196" t="s">
        <v>117</v>
      </c>
    </row>
    <row r="15" spans="1:23" x14ac:dyDescent="0.2">
      <c r="A15" s="179" t="s">
        <v>113</v>
      </c>
      <c r="B15" s="184" t="s">
        <v>62</v>
      </c>
      <c r="C15" s="180" t="s">
        <v>12</v>
      </c>
      <c r="D15" s="183">
        <v>0</v>
      </c>
      <c r="E15" s="185">
        <v>98</v>
      </c>
      <c r="F15" s="186">
        <v>10</v>
      </c>
      <c r="G15" s="196" t="s">
        <v>117</v>
      </c>
      <c r="H15" s="186"/>
      <c r="I15" s="186"/>
      <c r="J15" s="186"/>
      <c r="K15" s="186">
        <v>10</v>
      </c>
      <c r="L15" s="186">
        <v>5</v>
      </c>
      <c r="M15" s="196" t="s">
        <v>117</v>
      </c>
      <c r="N15" s="186"/>
      <c r="O15" s="186"/>
      <c r="P15" s="186">
        <v>10</v>
      </c>
      <c r="Q15" s="186">
        <v>10</v>
      </c>
      <c r="R15" s="186">
        <v>10</v>
      </c>
      <c r="S15" s="186">
        <v>10</v>
      </c>
      <c r="T15" s="186">
        <v>10</v>
      </c>
      <c r="U15" s="186">
        <v>10</v>
      </c>
      <c r="V15" s="186">
        <v>5</v>
      </c>
      <c r="W15" s="196" t="s">
        <v>117</v>
      </c>
    </row>
    <row r="16" spans="1:23" x14ac:dyDescent="0.2">
      <c r="A16" s="192"/>
      <c r="B16" s="190"/>
      <c r="C16" s="191"/>
      <c r="D16" s="187" t="s">
        <v>144</v>
      </c>
      <c r="E16" s="188">
        <f>SUM(E9:E15)</f>
        <v>100</v>
      </c>
      <c r="F16" s="189">
        <f t="shared" ref="F16:T16" si="0">SUM(F9:F15)</f>
        <v>100</v>
      </c>
      <c r="G16" s="197" t="s">
        <v>117</v>
      </c>
      <c r="H16" s="189"/>
      <c r="I16" s="189"/>
      <c r="J16" s="189"/>
      <c r="K16" s="189">
        <f t="shared" si="0"/>
        <v>100</v>
      </c>
      <c r="L16" s="189">
        <f t="shared" ref="L16" si="1">SUM(L9:L15)</f>
        <v>100</v>
      </c>
      <c r="M16" s="197" t="s">
        <v>117</v>
      </c>
      <c r="N16" s="189"/>
      <c r="O16" s="189"/>
      <c r="P16" s="189">
        <f t="shared" si="0"/>
        <v>100</v>
      </c>
      <c r="Q16" s="189">
        <f t="shared" si="0"/>
        <v>100</v>
      </c>
      <c r="R16" s="189">
        <f t="shared" si="0"/>
        <v>100</v>
      </c>
      <c r="S16" s="189">
        <f t="shared" si="0"/>
        <v>100</v>
      </c>
      <c r="T16" s="189">
        <f t="shared" si="0"/>
        <v>100</v>
      </c>
      <c r="U16" s="189">
        <f t="shared" ref="U16:V16" si="2">SUM(U9:U15)</f>
        <v>100</v>
      </c>
      <c r="V16" s="189">
        <f t="shared" si="2"/>
        <v>100</v>
      </c>
      <c r="W16" s="197" t="s">
        <v>117</v>
      </c>
    </row>
    <row r="17" spans="1:23" x14ac:dyDescent="0.2">
      <c r="A17" s="136" t="s">
        <v>123</v>
      </c>
      <c r="B17" s="193" t="s">
        <v>148</v>
      </c>
      <c r="C17" s="140" t="s">
        <v>10</v>
      </c>
      <c r="D17" s="141" t="s">
        <v>135</v>
      </c>
      <c r="E17" s="148">
        <v>4.1500000000000004</v>
      </c>
      <c r="F17" s="143">
        <f>E17</f>
        <v>4.1500000000000004</v>
      </c>
      <c r="G17" s="143">
        <f>F17</f>
        <v>4.1500000000000004</v>
      </c>
      <c r="H17" s="143"/>
      <c r="I17" s="143"/>
      <c r="J17" s="143"/>
      <c r="K17" s="143">
        <v>3.3921999999999999</v>
      </c>
      <c r="L17" s="143">
        <f>K17</f>
        <v>3.3921999999999999</v>
      </c>
      <c r="M17" s="143">
        <f>L17</f>
        <v>3.3921999999999999</v>
      </c>
      <c r="N17" s="143"/>
      <c r="O17" s="143"/>
      <c r="P17" s="143">
        <v>3.3921999999999999</v>
      </c>
      <c r="Q17" s="143">
        <v>3.3921999999999999</v>
      </c>
      <c r="R17" s="143">
        <v>3.3921999999999999</v>
      </c>
      <c r="S17" s="143">
        <v>3.3921999999999999</v>
      </c>
      <c r="T17" s="143">
        <v>3.3921999999999999</v>
      </c>
      <c r="U17" s="140">
        <v>3.3921999999999999</v>
      </c>
      <c r="V17" s="143">
        <f>U17</f>
        <v>3.3921999999999999</v>
      </c>
      <c r="W17" s="143">
        <f>V17</f>
        <v>3.3921999999999999</v>
      </c>
    </row>
    <row r="18" spans="1:23" x14ac:dyDescent="0.2">
      <c r="A18" s="204" t="s">
        <v>123</v>
      </c>
      <c r="B18" s="205" t="s">
        <v>148</v>
      </c>
      <c r="C18" s="206" t="s">
        <v>100</v>
      </c>
      <c r="D18" s="207" t="s">
        <v>135</v>
      </c>
      <c r="E18" s="208">
        <f>E17*640</f>
        <v>2656</v>
      </c>
      <c r="F18" s="209">
        <f t="shared" ref="F18:T18" si="3">F17*640</f>
        <v>2656</v>
      </c>
      <c r="G18" s="209">
        <f t="shared" si="3"/>
        <v>2656</v>
      </c>
      <c r="H18" s="209"/>
      <c r="I18" s="209"/>
      <c r="J18" s="209"/>
      <c r="K18" s="209">
        <f t="shared" si="3"/>
        <v>2171.0079999999998</v>
      </c>
      <c r="L18" s="209">
        <f t="shared" ref="L18:M18" si="4">L17*640</f>
        <v>2171.0079999999998</v>
      </c>
      <c r="M18" s="209">
        <f t="shared" si="4"/>
        <v>2171.0079999999998</v>
      </c>
      <c r="N18" s="209"/>
      <c r="O18" s="209"/>
      <c r="P18" s="209">
        <f t="shared" si="3"/>
        <v>2171.0079999999998</v>
      </c>
      <c r="Q18" s="209">
        <f t="shared" si="3"/>
        <v>2171.0079999999998</v>
      </c>
      <c r="R18" s="209">
        <f t="shared" si="3"/>
        <v>2171.0079999999998</v>
      </c>
      <c r="S18" s="209">
        <f t="shared" si="3"/>
        <v>2171.0079999999998</v>
      </c>
      <c r="T18" s="209">
        <f t="shared" si="3"/>
        <v>2171.0079999999998</v>
      </c>
      <c r="U18" s="209">
        <f t="shared" ref="U18:W18" si="5">U17*640</f>
        <v>2171.0079999999998</v>
      </c>
      <c r="V18" s="209">
        <f t="shared" si="5"/>
        <v>2171.0079999999998</v>
      </c>
      <c r="W18" s="209">
        <f t="shared" si="5"/>
        <v>2171.0079999999998</v>
      </c>
    </row>
    <row r="19" spans="1:23" x14ac:dyDescent="0.2">
      <c r="A19" s="136" t="s">
        <v>104</v>
      </c>
      <c r="B19" s="193" t="s">
        <v>151</v>
      </c>
      <c r="C19" s="140" t="s">
        <v>122</v>
      </c>
      <c r="D19" s="141" t="s">
        <v>135</v>
      </c>
      <c r="E19" s="149">
        <v>19700000</v>
      </c>
      <c r="F19" s="146">
        <v>250000</v>
      </c>
      <c r="G19" s="146">
        <f>SUM(E19:F19)</f>
        <v>19950000</v>
      </c>
      <c r="H19" s="146"/>
      <c r="I19" s="146"/>
      <c r="J19" s="146"/>
      <c r="K19" s="146">
        <v>55000000</v>
      </c>
      <c r="L19" s="146">
        <v>5000000</v>
      </c>
      <c r="M19" s="146">
        <f>SUM(K19:L19)</f>
        <v>60000000</v>
      </c>
      <c r="N19" s="146"/>
      <c r="O19" s="146"/>
      <c r="P19" s="146">
        <v>55000000</v>
      </c>
      <c r="Q19" s="146">
        <v>55000000</v>
      </c>
      <c r="R19" s="146">
        <v>55000000</v>
      </c>
      <c r="S19" s="146">
        <v>55000000</v>
      </c>
      <c r="T19" s="146">
        <v>55000000</v>
      </c>
      <c r="U19" s="146">
        <v>55000000</v>
      </c>
      <c r="V19" s="146">
        <v>5000000</v>
      </c>
      <c r="W19" s="146">
        <f>SUM(U19:V19)</f>
        <v>60000000</v>
      </c>
    </row>
    <row r="20" spans="1:23" x14ac:dyDescent="0.2">
      <c r="A20" s="136" t="s">
        <v>104</v>
      </c>
      <c r="B20" s="193" t="s">
        <v>148</v>
      </c>
      <c r="C20" s="139" t="s">
        <v>100</v>
      </c>
      <c r="D20" s="141" t="s">
        <v>135</v>
      </c>
      <c r="E20" s="149">
        <f>E19/43560</f>
        <v>452.24977043158862</v>
      </c>
      <c r="F20" s="146">
        <f t="shared" ref="F20:T20" si="6">F19/43560</f>
        <v>5.7392102846648303</v>
      </c>
      <c r="G20" s="146">
        <f t="shared" si="6"/>
        <v>457.98898071625342</v>
      </c>
      <c r="H20" s="146"/>
      <c r="I20" s="146"/>
      <c r="J20" s="146"/>
      <c r="K20" s="146">
        <f t="shared" si="6"/>
        <v>1262.6262626262626</v>
      </c>
      <c r="L20" s="146">
        <f t="shared" ref="L20:M20" si="7">L19/43560</f>
        <v>114.7842056932966</v>
      </c>
      <c r="M20" s="146">
        <f t="shared" si="7"/>
        <v>1377.4104683195592</v>
      </c>
      <c r="N20" s="146"/>
      <c r="O20" s="146"/>
      <c r="P20" s="146">
        <f t="shared" si="6"/>
        <v>1262.6262626262626</v>
      </c>
      <c r="Q20" s="146">
        <f t="shared" si="6"/>
        <v>1262.6262626262626</v>
      </c>
      <c r="R20" s="146">
        <f t="shared" si="6"/>
        <v>1262.6262626262626</v>
      </c>
      <c r="S20" s="146">
        <f t="shared" si="6"/>
        <v>1262.6262626262626</v>
      </c>
      <c r="T20" s="146">
        <f t="shared" si="6"/>
        <v>1262.6262626262626</v>
      </c>
      <c r="U20" s="146">
        <f t="shared" ref="U20:W20" si="8">U19/43560</f>
        <v>1262.6262626262626</v>
      </c>
      <c r="V20" s="146">
        <f t="shared" si="8"/>
        <v>114.7842056932966</v>
      </c>
      <c r="W20" s="146">
        <f t="shared" si="8"/>
        <v>1377.4104683195592</v>
      </c>
    </row>
    <row r="21" spans="1:23" x14ac:dyDescent="0.2">
      <c r="A21" s="136" t="s">
        <v>104</v>
      </c>
      <c r="B21" s="193" t="s">
        <v>148</v>
      </c>
      <c r="C21" s="139" t="s">
        <v>10</v>
      </c>
      <c r="D21" s="141" t="s">
        <v>135</v>
      </c>
      <c r="E21" s="148">
        <f>E20/640</f>
        <v>0.70664026629935717</v>
      </c>
      <c r="F21" s="140">
        <f t="shared" ref="F21:T21" si="9">F20/640</f>
        <v>8.967516069788798E-3</v>
      </c>
      <c r="G21" s="140">
        <f t="shared" si="9"/>
        <v>0.71560778236914602</v>
      </c>
      <c r="H21" s="140"/>
      <c r="I21" s="140"/>
      <c r="J21" s="140"/>
      <c r="K21" s="140">
        <f t="shared" si="9"/>
        <v>1.9728535353535352</v>
      </c>
      <c r="L21" s="140">
        <f t="shared" ref="L21:M21" si="10">L20/640</f>
        <v>0.17935032139577595</v>
      </c>
      <c r="M21" s="140">
        <f t="shared" si="10"/>
        <v>2.1522038567493111</v>
      </c>
      <c r="N21" s="140"/>
      <c r="O21" s="140"/>
      <c r="P21" s="140">
        <f t="shared" si="9"/>
        <v>1.9728535353535352</v>
      </c>
      <c r="Q21" s="140">
        <f t="shared" si="9"/>
        <v>1.9728535353535352</v>
      </c>
      <c r="R21" s="140">
        <f t="shared" si="9"/>
        <v>1.9728535353535352</v>
      </c>
      <c r="S21" s="140">
        <f t="shared" si="9"/>
        <v>1.9728535353535352</v>
      </c>
      <c r="T21" s="140">
        <f t="shared" si="9"/>
        <v>1.9728535353535352</v>
      </c>
      <c r="U21" s="140">
        <f t="shared" ref="U21:W21" si="11">U20/640</f>
        <v>1.9728535353535352</v>
      </c>
      <c r="V21" s="140">
        <f t="shared" si="11"/>
        <v>0.17935032139577595</v>
      </c>
      <c r="W21" s="140">
        <f t="shared" si="11"/>
        <v>2.1522038567493111</v>
      </c>
    </row>
    <row r="22" spans="1:23" ht="25.5" x14ac:dyDescent="0.2">
      <c r="A22" s="159" t="s">
        <v>104</v>
      </c>
      <c r="B22" s="160" t="s">
        <v>15</v>
      </c>
      <c r="C22" s="160" t="s">
        <v>12</v>
      </c>
      <c r="D22" s="161" t="s">
        <v>135</v>
      </c>
      <c r="E22" s="200">
        <f>E21/E17*100</f>
        <v>17.02747629637005</v>
      </c>
      <c r="F22" s="201">
        <f t="shared" ref="F22:T22" si="12">F21/F17*100</f>
        <v>0.216084724573224</v>
      </c>
      <c r="G22" s="201">
        <f t="shared" si="12"/>
        <v>17.243561020943275</v>
      </c>
      <c r="H22" s="162"/>
      <c r="I22" s="162"/>
      <c r="J22" s="162"/>
      <c r="K22" s="162">
        <f t="shared" si="12"/>
        <v>58.158526482917729</v>
      </c>
      <c r="L22" s="201">
        <f t="shared" ref="L22:M22" si="13">L21/L17*100</f>
        <v>5.2871387711743401</v>
      </c>
      <c r="M22" s="201">
        <f t="shared" si="13"/>
        <v>63.445665254092063</v>
      </c>
      <c r="N22" s="162"/>
      <c r="O22" s="162"/>
      <c r="P22" s="162">
        <f t="shared" si="12"/>
        <v>58.158526482917729</v>
      </c>
      <c r="Q22" s="162">
        <f t="shared" si="12"/>
        <v>58.158526482917729</v>
      </c>
      <c r="R22" s="162">
        <f t="shared" si="12"/>
        <v>58.158526482917729</v>
      </c>
      <c r="S22" s="162">
        <f t="shared" si="12"/>
        <v>58.158526482917729</v>
      </c>
      <c r="T22" s="162">
        <f t="shared" si="12"/>
        <v>58.158526482917729</v>
      </c>
      <c r="U22" s="162">
        <f t="shared" ref="U22:W22" si="14">U21/U17*100</f>
        <v>58.158526482917729</v>
      </c>
      <c r="V22" s="201">
        <f t="shared" si="14"/>
        <v>5.2871387711743401</v>
      </c>
      <c r="W22" s="201">
        <f t="shared" si="14"/>
        <v>63.445665254092063</v>
      </c>
    </row>
    <row r="23" spans="1:23" x14ac:dyDescent="0.2">
      <c r="A23" s="137" t="s">
        <v>132</v>
      </c>
      <c r="B23" s="193" t="s">
        <v>148</v>
      </c>
      <c r="C23" s="139" t="s">
        <v>10</v>
      </c>
      <c r="D23" s="141" t="s">
        <v>135</v>
      </c>
      <c r="E23" s="148">
        <f>E17-E21</f>
        <v>3.4433597337006434</v>
      </c>
      <c r="F23" s="140">
        <f t="shared" ref="F23:T23" si="15">F17-F21</f>
        <v>4.1410324839302115</v>
      </c>
      <c r="G23" s="140">
        <f t="shared" si="15"/>
        <v>3.4343922176308546</v>
      </c>
      <c r="H23" s="140"/>
      <c r="I23" s="140"/>
      <c r="J23" s="140"/>
      <c r="K23" s="140">
        <f t="shared" si="15"/>
        <v>1.4193464646464646</v>
      </c>
      <c r="L23" s="140">
        <f t="shared" ref="L23:M23" si="16">L17-L21</f>
        <v>3.2128496786042238</v>
      </c>
      <c r="M23" s="140">
        <f t="shared" si="16"/>
        <v>1.2399961432506887</v>
      </c>
      <c r="N23" s="140"/>
      <c r="O23" s="140"/>
      <c r="P23" s="140">
        <f t="shared" si="15"/>
        <v>1.4193464646464646</v>
      </c>
      <c r="Q23" s="140">
        <f t="shared" si="15"/>
        <v>1.4193464646464646</v>
      </c>
      <c r="R23" s="140">
        <f t="shared" si="15"/>
        <v>1.4193464646464646</v>
      </c>
      <c r="S23" s="140">
        <f t="shared" si="15"/>
        <v>1.4193464646464646</v>
      </c>
      <c r="T23" s="140">
        <f t="shared" si="15"/>
        <v>1.4193464646464646</v>
      </c>
      <c r="U23" s="140">
        <f t="shared" ref="U23:W23" si="17">U17-U21</f>
        <v>1.4193464646464646</v>
      </c>
      <c r="V23" s="140">
        <f t="shared" si="17"/>
        <v>3.2128496786042238</v>
      </c>
      <c r="W23" s="140">
        <f t="shared" si="17"/>
        <v>1.2399961432506887</v>
      </c>
    </row>
    <row r="24" spans="1:23" ht="25.5" x14ac:dyDescent="0.2">
      <c r="A24" s="137" t="s">
        <v>137</v>
      </c>
      <c r="B24" s="193" t="s">
        <v>148</v>
      </c>
      <c r="C24" s="139" t="s">
        <v>12</v>
      </c>
      <c r="D24" s="141"/>
      <c r="E24" s="150">
        <v>0</v>
      </c>
      <c r="F24" s="145">
        <v>0</v>
      </c>
      <c r="G24" s="145">
        <v>0</v>
      </c>
      <c r="H24" s="145"/>
      <c r="I24" s="145"/>
      <c r="J24" s="145"/>
      <c r="K24" s="145">
        <v>0</v>
      </c>
      <c r="L24" s="145">
        <v>0</v>
      </c>
      <c r="M24" s="145">
        <v>0</v>
      </c>
      <c r="N24" s="145"/>
      <c r="O24" s="145"/>
      <c r="P24" s="145">
        <v>0</v>
      </c>
      <c r="Q24" s="145">
        <v>0</v>
      </c>
      <c r="R24" s="145">
        <v>0</v>
      </c>
      <c r="S24" s="145">
        <v>0</v>
      </c>
      <c r="T24" s="145">
        <v>0</v>
      </c>
      <c r="U24" s="145">
        <v>0</v>
      </c>
      <c r="V24" s="145">
        <v>0</v>
      </c>
      <c r="W24" s="145">
        <v>0</v>
      </c>
    </row>
    <row r="25" spans="1:23" ht="38.25" x14ac:dyDescent="0.2">
      <c r="A25" s="137" t="s">
        <v>115</v>
      </c>
      <c r="B25" s="193" t="s">
        <v>154</v>
      </c>
      <c r="C25" s="139" t="s">
        <v>12</v>
      </c>
      <c r="D25" s="141" t="s">
        <v>135</v>
      </c>
      <c r="E25" s="198">
        <f>E22</f>
        <v>17.02747629637005</v>
      </c>
      <c r="F25" s="199">
        <f t="shared" ref="F25:T25" si="18">($D$9*F9+$D$10*F10+$D$11*F11+$D$12*F12+$D$13*F13+$D$14*F14+$D$15*F15)/F16</f>
        <v>49.6</v>
      </c>
      <c r="G25" s="199">
        <f>(E25*E21+F25*F21)/G21</f>
        <v>17.435653285137342</v>
      </c>
      <c r="H25" s="144"/>
      <c r="I25" s="144"/>
      <c r="J25" s="144"/>
      <c r="K25" s="144">
        <f t="shared" si="18"/>
        <v>49.6</v>
      </c>
      <c r="L25" s="199">
        <f t="shared" ref="L25" si="19">($D$9*L9+$D$10*L10+$D$11*L11+$D$12*L12+$D$13*L13+$D$14*L14+$D$15*L15)/L16</f>
        <v>85.5</v>
      </c>
      <c r="M25" s="199">
        <f>(K25*K21+L25*L21)/M21</f>
        <v>52.591666666666669</v>
      </c>
      <c r="N25" s="144"/>
      <c r="O25" s="144"/>
      <c r="P25" s="144">
        <f t="shared" si="18"/>
        <v>49.6</v>
      </c>
      <c r="Q25" s="144">
        <f t="shared" si="18"/>
        <v>49.6</v>
      </c>
      <c r="R25" s="144">
        <f t="shared" si="18"/>
        <v>49.6</v>
      </c>
      <c r="S25" s="144">
        <f t="shared" si="18"/>
        <v>49.6</v>
      </c>
      <c r="T25" s="144">
        <f t="shared" si="18"/>
        <v>49.6</v>
      </c>
      <c r="U25" s="144">
        <f t="shared" ref="U25:V25" si="20">($D$9*U9+$D$10*U10+$D$11*U11+$D$12*U12+$D$13*U13+$D$14*U14+$D$15*U15)/U16</f>
        <v>49.6</v>
      </c>
      <c r="V25" s="199">
        <f t="shared" si="20"/>
        <v>85.5</v>
      </c>
      <c r="W25" s="199">
        <f>(U25*U21+V25*V21)/W21</f>
        <v>52.591666666666669</v>
      </c>
    </row>
    <row r="26" spans="1:23" ht="25.5" customHeight="1" x14ac:dyDescent="0.2">
      <c r="A26" s="154" t="s">
        <v>145</v>
      </c>
      <c r="B26" s="155" t="s">
        <v>155</v>
      </c>
      <c r="C26" s="155" t="s">
        <v>12</v>
      </c>
      <c r="D26" s="156" t="s">
        <v>135</v>
      </c>
      <c r="E26" s="202">
        <f>E25</f>
        <v>17.02747629637005</v>
      </c>
      <c r="F26" s="203">
        <f t="shared" ref="F26:T26" si="21">(F21*F25+F23*F24)/F17</f>
        <v>0.10717802338831912</v>
      </c>
      <c r="G26" s="203">
        <f>G25</f>
        <v>17.435653285137342</v>
      </c>
      <c r="H26" s="158"/>
      <c r="I26" s="158"/>
      <c r="J26" s="158"/>
      <c r="K26" s="158">
        <f t="shared" si="21"/>
        <v>28.846629135527195</v>
      </c>
      <c r="L26" s="203">
        <f t="shared" ref="L26" si="22">(L21*L25+L23*L24)/L17</f>
        <v>4.52050364935406</v>
      </c>
      <c r="M26" s="203">
        <f t="shared" si="21"/>
        <v>33.367132784881257</v>
      </c>
      <c r="N26" s="158"/>
      <c r="O26" s="158"/>
      <c r="P26" s="158">
        <f t="shared" si="21"/>
        <v>28.846629135527195</v>
      </c>
      <c r="Q26" s="158">
        <f t="shared" si="21"/>
        <v>28.846629135527195</v>
      </c>
      <c r="R26" s="158">
        <f t="shared" si="21"/>
        <v>28.846629135527195</v>
      </c>
      <c r="S26" s="158">
        <f t="shared" si="21"/>
        <v>28.846629135527195</v>
      </c>
      <c r="T26" s="158">
        <f t="shared" si="21"/>
        <v>28.846629135527195</v>
      </c>
      <c r="U26" s="158">
        <f t="shared" ref="U26:W26" si="23">(U21*U25+U23*U24)/U17</f>
        <v>28.846629135527195</v>
      </c>
      <c r="V26" s="203">
        <f t="shared" si="23"/>
        <v>4.52050364935406</v>
      </c>
      <c r="W26" s="203">
        <f t="shared" si="23"/>
        <v>33.367132784881257</v>
      </c>
    </row>
    <row r="27" spans="1:23" ht="12" customHeight="1" x14ac:dyDescent="0.2">
      <c r="A27" s="130"/>
      <c r="B27" s="163"/>
      <c r="C27" s="163"/>
      <c r="D27" s="130"/>
      <c r="E27" s="163"/>
      <c r="F27" s="130"/>
      <c r="G27" s="130"/>
      <c r="H27" s="130"/>
      <c r="I27" s="130"/>
      <c r="J27" s="130"/>
      <c r="K27" s="164"/>
      <c r="L27" s="164"/>
      <c r="M27" s="164"/>
      <c r="N27" s="164"/>
      <c r="O27" s="164"/>
      <c r="P27" s="130"/>
      <c r="Q27" s="130"/>
      <c r="R27" s="130"/>
      <c r="S27" s="130"/>
      <c r="T27" s="165"/>
      <c r="U27" s="165"/>
      <c r="V27" s="165"/>
      <c r="W27" s="165"/>
    </row>
    <row r="28" spans="1:23" x14ac:dyDescent="0.2">
      <c r="A28" s="130" t="s">
        <v>141</v>
      </c>
      <c r="B28" s="163"/>
      <c r="C28" s="163"/>
      <c r="D28" s="130"/>
      <c r="E28" s="163"/>
      <c r="F28" s="130"/>
      <c r="G28" s="130"/>
      <c r="H28" s="130"/>
      <c r="I28" s="130"/>
      <c r="J28" s="130"/>
      <c r="K28" s="164"/>
      <c r="L28" s="164"/>
      <c r="M28" s="164"/>
      <c r="N28" s="164"/>
      <c r="O28" s="164"/>
      <c r="P28" s="130"/>
      <c r="Q28" s="130"/>
      <c r="R28" s="130"/>
      <c r="S28" s="130"/>
      <c r="T28" s="165"/>
      <c r="U28" s="165"/>
      <c r="V28" s="165"/>
      <c r="W28" s="165"/>
    </row>
    <row r="29" spans="1:23" x14ac:dyDescent="0.2">
      <c r="A29" s="130" t="s">
        <v>161</v>
      </c>
      <c r="B29" s="163"/>
      <c r="C29" s="163"/>
      <c r="D29" s="130"/>
      <c r="E29" s="163"/>
      <c r="F29" s="130"/>
      <c r="G29" s="130"/>
      <c r="H29" s="130"/>
      <c r="I29" s="130"/>
      <c r="J29" s="130"/>
      <c r="K29" s="164"/>
      <c r="L29" s="164"/>
      <c r="M29" s="164"/>
      <c r="N29" s="164"/>
      <c r="O29" s="164"/>
      <c r="P29" s="130"/>
      <c r="Q29" s="130"/>
      <c r="R29" s="130"/>
      <c r="S29" s="130"/>
      <c r="T29" s="165"/>
      <c r="U29" s="165"/>
      <c r="V29" s="165"/>
      <c r="W29" s="165"/>
    </row>
    <row r="30" spans="1:23" x14ac:dyDescent="0.2">
      <c r="A30" s="130" t="s">
        <v>140</v>
      </c>
      <c r="B30" s="163"/>
      <c r="C30" s="163"/>
      <c r="D30" s="130"/>
      <c r="E30" s="163"/>
      <c r="F30" s="130"/>
      <c r="G30" s="130"/>
      <c r="H30" s="130"/>
      <c r="I30" s="130"/>
      <c r="J30" s="130"/>
      <c r="K30" s="164"/>
      <c r="L30" s="164"/>
      <c r="M30" s="164"/>
      <c r="N30" s="164"/>
      <c r="O30" s="164"/>
      <c r="P30" s="130"/>
      <c r="Q30" s="130"/>
      <c r="R30" s="130"/>
      <c r="S30" s="130"/>
      <c r="T30" s="165"/>
      <c r="U30" s="165"/>
      <c r="V30" s="165"/>
      <c r="W30" s="165"/>
    </row>
    <row r="31" spans="1:23" x14ac:dyDescent="0.2">
      <c r="A31" s="130" t="s">
        <v>146</v>
      </c>
      <c r="B31" s="163"/>
      <c r="C31" s="163"/>
      <c r="D31" s="130"/>
      <c r="E31" s="163"/>
      <c r="F31" s="130"/>
      <c r="G31" s="130"/>
      <c r="H31" s="130"/>
      <c r="I31" s="130"/>
      <c r="J31" s="130"/>
      <c r="K31" s="164"/>
      <c r="L31" s="164"/>
      <c r="M31" s="164"/>
      <c r="N31" s="164"/>
      <c r="O31" s="164"/>
      <c r="P31" s="130"/>
      <c r="Q31" s="130"/>
      <c r="R31" s="130"/>
      <c r="S31" s="130"/>
      <c r="T31" s="165"/>
      <c r="U31" s="165"/>
      <c r="V31" s="165"/>
      <c r="W31" s="165"/>
    </row>
    <row r="32" spans="1:23" x14ac:dyDescent="0.2">
      <c r="A32" s="443" t="s">
        <v>153</v>
      </c>
      <c r="B32" s="444"/>
      <c r="C32" s="444"/>
      <c r="D32" s="444"/>
      <c r="E32" s="444"/>
      <c r="F32" s="444"/>
      <c r="G32" s="444"/>
      <c r="H32" s="444"/>
      <c r="I32" s="444"/>
      <c r="J32" s="444"/>
      <c r="K32" s="444"/>
      <c r="L32" s="444"/>
      <c r="M32" s="444"/>
      <c r="N32" s="444"/>
      <c r="O32" s="444"/>
      <c r="P32" s="444"/>
      <c r="Q32" s="444"/>
      <c r="R32" s="444"/>
      <c r="S32" s="444"/>
      <c r="T32" s="444"/>
      <c r="U32" s="444"/>
      <c r="V32" s="444"/>
      <c r="W32" s="444"/>
    </row>
    <row r="33" spans="1:23" x14ac:dyDescent="0.2">
      <c r="A33" s="444"/>
      <c r="B33" s="444"/>
      <c r="C33" s="444"/>
      <c r="D33" s="444"/>
      <c r="E33" s="444"/>
      <c r="F33" s="444"/>
      <c r="G33" s="444"/>
      <c r="H33" s="444"/>
      <c r="I33" s="444"/>
      <c r="J33" s="444"/>
      <c r="K33" s="444"/>
      <c r="L33" s="444"/>
      <c r="M33" s="444"/>
      <c r="N33" s="444"/>
      <c r="O33" s="444"/>
      <c r="P33" s="444"/>
      <c r="Q33" s="444"/>
      <c r="R33" s="444"/>
      <c r="S33" s="444"/>
      <c r="T33" s="444"/>
      <c r="U33" s="444"/>
      <c r="V33" s="444"/>
      <c r="W33" s="444"/>
    </row>
    <row r="34" spans="1:23" x14ac:dyDescent="0.2">
      <c r="A34" s="130" t="s">
        <v>156</v>
      </c>
      <c r="B34" s="163"/>
      <c r="C34" s="163"/>
      <c r="D34" s="130"/>
      <c r="E34" s="163"/>
      <c r="F34" s="130"/>
      <c r="G34" s="130"/>
      <c r="H34" s="130"/>
      <c r="I34" s="130"/>
      <c r="J34" s="130"/>
      <c r="K34" s="164"/>
      <c r="L34" s="164"/>
      <c r="M34" s="164"/>
      <c r="N34" s="164"/>
      <c r="O34" s="164"/>
      <c r="P34" s="130"/>
      <c r="Q34" s="130"/>
      <c r="R34" s="130"/>
      <c r="S34" s="130"/>
      <c r="T34" s="165"/>
      <c r="U34" s="165"/>
      <c r="V34" s="165"/>
      <c r="W34" s="165"/>
    </row>
    <row r="36" spans="1:23" x14ac:dyDescent="0.2">
      <c r="E36" s="76" t="s">
        <v>13</v>
      </c>
    </row>
  </sheetData>
  <mergeCells count="1">
    <mergeCell ref="A32:W33"/>
  </mergeCells>
  <printOptions gridLines="1"/>
  <pageMargins left="0.7" right="0.7" top="0.75" bottom="0.75" header="0.3" footer="0.3"/>
  <pageSetup scale="74" orientation="landscape" r:id="rId1"/>
  <headerFooter>
    <oddHeader>&amp;LSmith Engineering Company&amp;R&amp;D</oddHeader>
    <oddFooter>&amp;L&amp;"Arial Narrow,Regular"&amp;9&amp;Z&amp;F&amp;A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2"/>
  <sheetViews>
    <sheetView view="pageLayout" zoomScaleNormal="100" workbookViewId="0">
      <selection activeCell="M17" sqref="M17"/>
    </sheetView>
  </sheetViews>
  <sheetFormatPr defaultRowHeight="12.75" x14ac:dyDescent="0.2"/>
  <cols>
    <col min="1" max="1" width="15.7109375" style="65" customWidth="1"/>
    <col min="2" max="2" width="8.28515625" style="65" customWidth="1"/>
    <col min="3" max="3" width="7.28515625" style="65" hidden="1" customWidth="1"/>
    <col min="4" max="4" width="7.140625" style="116" customWidth="1"/>
    <col min="5" max="5" width="6.28515625" style="65" customWidth="1"/>
    <col min="6" max="6" width="9.28515625" style="65" customWidth="1"/>
    <col min="7" max="7" width="6.7109375" style="65" customWidth="1"/>
    <col min="8" max="8" width="6.5703125" style="65" customWidth="1"/>
    <col min="9" max="9" width="7.85546875" style="86" customWidth="1"/>
    <col min="10" max="10" width="6.42578125" style="65" customWidth="1"/>
    <col min="11" max="11" width="10.5703125" style="65" customWidth="1"/>
    <col min="12" max="13" width="13.140625" style="86" customWidth="1"/>
    <col min="14" max="16384" width="9.140625" style="65"/>
  </cols>
  <sheetData>
    <row r="1" spans="1:14" ht="15.75" x14ac:dyDescent="0.2">
      <c r="A1" s="131" t="s">
        <v>95</v>
      </c>
      <c r="B1" s="132"/>
      <c r="C1" s="132"/>
      <c r="D1" s="133"/>
      <c r="E1" s="132"/>
      <c r="F1" s="132"/>
      <c r="G1" s="132"/>
      <c r="H1" s="132"/>
      <c r="I1" s="134"/>
      <c r="J1" s="132"/>
      <c r="K1" s="132"/>
      <c r="L1" s="134"/>
      <c r="M1" s="134"/>
      <c r="N1" s="130"/>
    </row>
    <row r="2" spans="1:14" ht="7.5" customHeight="1" x14ac:dyDescent="0.2">
      <c r="A2" s="131"/>
      <c r="B2" s="132"/>
      <c r="C2" s="132"/>
      <c r="D2" s="133"/>
      <c r="E2" s="132"/>
      <c r="F2" s="132"/>
      <c r="G2" s="132"/>
      <c r="H2" s="132"/>
      <c r="I2" s="134"/>
      <c r="J2" s="132"/>
      <c r="K2" s="132"/>
      <c r="L2" s="134"/>
      <c r="M2" s="134"/>
      <c r="N2" s="130"/>
    </row>
    <row r="3" spans="1:14" ht="15.75" x14ac:dyDescent="0.2">
      <c r="A3" s="131" t="s">
        <v>120</v>
      </c>
      <c r="B3" s="132"/>
      <c r="C3" s="132"/>
      <c r="D3" s="133"/>
      <c r="E3" s="132"/>
      <c r="F3" s="132"/>
      <c r="G3" s="132"/>
      <c r="H3" s="132"/>
      <c r="I3" s="134"/>
      <c r="J3" s="132"/>
      <c r="K3" s="132"/>
      <c r="L3" s="134"/>
      <c r="M3" s="134"/>
      <c r="N3" s="130"/>
    </row>
    <row r="4" spans="1:14" ht="7.5" customHeight="1" x14ac:dyDescent="0.2">
      <c r="A4" s="131"/>
      <c r="B4" s="132"/>
      <c r="C4" s="132"/>
      <c r="D4" s="133"/>
      <c r="E4" s="132"/>
      <c r="F4" s="132"/>
      <c r="G4" s="132"/>
      <c r="H4" s="132"/>
      <c r="I4" s="134"/>
      <c r="J4" s="132"/>
      <c r="K4" s="132"/>
      <c r="L4" s="134"/>
      <c r="M4" s="134"/>
      <c r="N4" s="130"/>
    </row>
    <row r="5" spans="1:14" ht="63.75" x14ac:dyDescent="0.2">
      <c r="A5" s="70" t="s">
        <v>127</v>
      </c>
      <c r="B5" s="70" t="s">
        <v>56</v>
      </c>
      <c r="C5" s="70" t="s">
        <v>116</v>
      </c>
      <c r="D5" s="112" t="s">
        <v>123</v>
      </c>
      <c r="E5" s="70" t="s">
        <v>123</v>
      </c>
      <c r="F5" s="70" t="s">
        <v>124</v>
      </c>
      <c r="G5" s="70" t="s">
        <v>124</v>
      </c>
      <c r="H5" s="70" t="s">
        <v>124</v>
      </c>
      <c r="I5" s="121" t="s">
        <v>124</v>
      </c>
      <c r="J5" s="125" t="s">
        <v>126</v>
      </c>
      <c r="K5" s="70" t="s">
        <v>114</v>
      </c>
      <c r="L5" s="88" t="s">
        <v>115</v>
      </c>
      <c r="M5" s="121" t="s">
        <v>125</v>
      </c>
      <c r="N5" s="130"/>
    </row>
    <row r="6" spans="1:14" x14ac:dyDescent="0.2">
      <c r="A6" s="87"/>
      <c r="B6" s="87" t="s">
        <v>12</v>
      </c>
      <c r="C6" s="87"/>
      <c r="D6" s="113" t="s">
        <v>10</v>
      </c>
      <c r="E6" s="87" t="s">
        <v>100</v>
      </c>
      <c r="F6" s="87" t="s">
        <v>122</v>
      </c>
      <c r="G6" s="87" t="s">
        <v>100</v>
      </c>
      <c r="H6" s="87" t="s">
        <v>10</v>
      </c>
      <c r="I6" s="123" t="s">
        <v>12</v>
      </c>
      <c r="J6" s="126" t="s">
        <v>10</v>
      </c>
      <c r="K6" s="87" t="s">
        <v>12</v>
      </c>
      <c r="L6" s="89"/>
      <c r="M6" s="89" t="s">
        <v>12</v>
      </c>
      <c r="N6" s="130"/>
    </row>
    <row r="7" spans="1:14" x14ac:dyDescent="0.2">
      <c r="A7" s="73"/>
      <c r="B7" s="74" t="s">
        <v>63</v>
      </c>
      <c r="C7" s="74"/>
      <c r="D7" s="114"/>
      <c r="E7" s="74"/>
      <c r="F7" s="74"/>
      <c r="G7" s="74"/>
      <c r="H7" s="74"/>
      <c r="I7" s="93"/>
      <c r="J7" s="127"/>
      <c r="K7" s="74" t="s">
        <v>129</v>
      </c>
      <c r="L7" s="90"/>
      <c r="M7" s="90"/>
      <c r="N7" s="130"/>
    </row>
    <row r="8" spans="1:14" x14ac:dyDescent="0.2">
      <c r="A8" s="129" t="s">
        <v>128</v>
      </c>
      <c r="B8" s="82"/>
      <c r="C8" s="82"/>
      <c r="D8" s="128"/>
      <c r="E8" s="82"/>
      <c r="F8" s="82"/>
      <c r="G8" s="82"/>
      <c r="H8" s="82"/>
      <c r="I8" s="119"/>
      <c r="J8" s="96"/>
      <c r="K8" s="82"/>
      <c r="L8" s="118"/>
      <c r="M8" s="118"/>
      <c r="N8" s="130"/>
    </row>
    <row r="9" spans="1:14" x14ac:dyDescent="0.2">
      <c r="A9" s="65" t="s">
        <v>107</v>
      </c>
      <c r="B9" s="76">
        <v>80</v>
      </c>
      <c r="C9" s="76">
        <v>1</v>
      </c>
      <c r="D9" s="115"/>
      <c r="E9" s="76"/>
      <c r="F9" s="76"/>
      <c r="G9" s="76"/>
      <c r="H9" s="76"/>
      <c r="I9" s="124"/>
      <c r="J9" s="96"/>
      <c r="K9" s="82">
        <v>0</v>
      </c>
      <c r="L9" s="91" t="s">
        <v>117</v>
      </c>
      <c r="M9" s="91" t="s">
        <v>117</v>
      </c>
      <c r="N9" s="130"/>
    </row>
    <row r="10" spans="1:14" x14ac:dyDescent="0.2">
      <c r="A10" s="65" t="s">
        <v>108</v>
      </c>
      <c r="B10" s="76">
        <v>90</v>
      </c>
      <c r="C10" s="76">
        <v>1</v>
      </c>
      <c r="D10" s="115"/>
      <c r="E10" s="76"/>
      <c r="F10" s="76"/>
      <c r="G10" s="76"/>
      <c r="H10" s="76"/>
      <c r="I10" s="124"/>
      <c r="J10" s="96"/>
      <c r="K10" s="82">
        <v>0</v>
      </c>
      <c r="L10" s="91" t="s">
        <v>117</v>
      </c>
      <c r="M10" s="91" t="s">
        <v>117</v>
      </c>
      <c r="N10" s="130"/>
    </row>
    <row r="11" spans="1:14" x14ac:dyDescent="0.2">
      <c r="A11" s="65" t="s">
        <v>109</v>
      </c>
      <c r="B11" s="76">
        <v>70</v>
      </c>
      <c r="C11" s="76">
        <v>1</v>
      </c>
      <c r="D11" s="115"/>
      <c r="E11" s="76"/>
      <c r="F11" s="76"/>
      <c r="G11" s="76"/>
      <c r="H11" s="76"/>
      <c r="I11" s="124"/>
      <c r="J11" s="96"/>
      <c r="K11" s="82">
        <v>0</v>
      </c>
      <c r="L11" s="91" t="s">
        <v>117</v>
      </c>
      <c r="M11" s="91" t="s">
        <v>117</v>
      </c>
      <c r="N11" s="130"/>
    </row>
    <row r="12" spans="1:14" x14ac:dyDescent="0.2">
      <c r="A12" s="65" t="s">
        <v>110</v>
      </c>
      <c r="B12" s="76">
        <v>57</v>
      </c>
      <c r="C12" s="76">
        <v>1</v>
      </c>
      <c r="D12" s="115"/>
      <c r="E12" s="76"/>
      <c r="F12" s="76"/>
      <c r="G12" s="76"/>
      <c r="H12" s="76"/>
      <c r="I12" s="124"/>
      <c r="J12" s="96"/>
      <c r="K12" s="82">
        <v>70</v>
      </c>
      <c r="L12" s="91" t="s">
        <v>117</v>
      </c>
      <c r="M12" s="91" t="s">
        <v>117</v>
      </c>
      <c r="N12" s="130"/>
    </row>
    <row r="13" spans="1:14" x14ac:dyDescent="0.2">
      <c r="A13" s="65" t="s">
        <v>111</v>
      </c>
      <c r="B13" s="76">
        <v>7</v>
      </c>
      <c r="C13" s="76">
        <v>1</v>
      </c>
      <c r="D13" s="115"/>
      <c r="E13" s="76"/>
      <c r="F13" s="76"/>
      <c r="G13" s="76"/>
      <c r="H13" s="76"/>
      <c r="I13" s="124"/>
      <c r="J13" s="96"/>
      <c r="K13" s="82">
        <v>10</v>
      </c>
      <c r="L13" s="91" t="s">
        <v>117</v>
      </c>
      <c r="M13" s="91" t="s">
        <v>117</v>
      </c>
      <c r="N13" s="130"/>
    </row>
    <row r="14" spans="1:14" x14ac:dyDescent="0.2">
      <c r="A14" s="65" t="s">
        <v>112</v>
      </c>
      <c r="B14" s="76">
        <v>90</v>
      </c>
      <c r="C14" s="76">
        <v>2</v>
      </c>
      <c r="D14" s="115"/>
      <c r="E14" s="76"/>
      <c r="F14" s="76"/>
      <c r="G14" s="76"/>
      <c r="H14" s="76"/>
      <c r="I14" s="124"/>
      <c r="J14" s="96"/>
      <c r="K14" s="82">
        <v>10</v>
      </c>
      <c r="L14" s="91" t="s">
        <v>117</v>
      </c>
      <c r="M14" s="91" t="s">
        <v>117</v>
      </c>
      <c r="N14" s="130"/>
    </row>
    <row r="15" spans="1:14" x14ac:dyDescent="0.2">
      <c r="A15" s="73" t="s">
        <v>113</v>
      </c>
      <c r="B15" s="74">
        <v>0</v>
      </c>
      <c r="C15" s="79">
        <v>2</v>
      </c>
      <c r="D15" s="114"/>
      <c r="E15" s="74"/>
      <c r="F15" s="74"/>
      <c r="G15" s="74"/>
      <c r="H15" s="74"/>
      <c r="I15" s="93"/>
      <c r="J15" s="127"/>
      <c r="K15" s="74">
        <v>10</v>
      </c>
      <c r="L15" s="92" t="s">
        <v>117</v>
      </c>
      <c r="M15" s="92" t="s">
        <v>117</v>
      </c>
      <c r="N15" s="130"/>
    </row>
    <row r="16" spans="1:14" x14ac:dyDescent="0.2">
      <c r="A16" s="81"/>
      <c r="B16" s="82"/>
      <c r="C16" s="82"/>
      <c r="D16" s="116">
        <v>3.3921999999999999</v>
      </c>
      <c r="E16" s="82">
        <f>D16*640</f>
        <v>2171.0079999999998</v>
      </c>
      <c r="F16" s="94">
        <v>55000000</v>
      </c>
      <c r="G16" s="82">
        <f>F16/43560</f>
        <v>1262.6262626262626</v>
      </c>
      <c r="H16" s="82">
        <f>G16/640</f>
        <v>1.9728535353535352</v>
      </c>
      <c r="I16" s="119">
        <f>(H16/D16)*100</f>
        <v>58.158526482917729</v>
      </c>
      <c r="J16" s="135">
        <f>D16-H16</f>
        <v>1.4193464646464646</v>
      </c>
      <c r="K16" s="82" t="s">
        <v>118</v>
      </c>
      <c r="L16" s="91" t="s">
        <v>119</v>
      </c>
      <c r="M16" s="91" t="s">
        <v>119</v>
      </c>
      <c r="N16" s="130"/>
    </row>
    <row r="17" spans="1:14" x14ac:dyDescent="0.2">
      <c r="B17" s="76"/>
      <c r="C17" s="85" t="s">
        <v>13</v>
      </c>
      <c r="D17" s="117"/>
      <c r="E17" s="85"/>
      <c r="F17" s="95"/>
      <c r="G17" s="95" t="s">
        <v>106</v>
      </c>
      <c r="H17" s="95"/>
      <c r="I17" s="122"/>
      <c r="J17" s="95">
        <v>0</v>
      </c>
      <c r="K17" s="85">
        <f>SUM(K9:K15)</f>
        <v>100</v>
      </c>
      <c r="L17" s="142">
        <f>(B9*K9+B10*K10+B11*K11+B12*K12+B13*K13+B14*K14+B15*K15)/K17</f>
        <v>49.6</v>
      </c>
      <c r="M17" s="119">
        <f>(H16*L17+J16*J17)/D16</f>
        <v>28.846629135527195</v>
      </c>
      <c r="N17" s="130"/>
    </row>
    <row r="18" spans="1:14" x14ac:dyDescent="0.2">
      <c r="J18" s="81"/>
      <c r="K18" s="81"/>
      <c r="L18" s="120"/>
      <c r="M18" s="120"/>
      <c r="N18" s="130"/>
    </row>
    <row r="19" spans="1:14" x14ac:dyDescent="0.2">
      <c r="N19" s="130"/>
    </row>
    <row r="20" spans="1:14" x14ac:dyDescent="0.2">
      <c r="A20" s="65" t="s">
        <v>121</v>
      </c>
      <c r="N20" s="130"/>
    </row>
    <row r="21" spans="1:14" x14ac:dyDescent="0.2">
      <c r="A21" s="65" t="s">
        <v>130</v>
      </c>
      <c r="N21" s="130"/>
    </row>
    <row r="22" spans="1:14" x14ac:dyDescent="0.2">
      <c r="N22" s="130"/>
    </row>
  </sheetData>
  <printOptions gridLines="1"/>
  <pageMargins left="0.7" right="0.7" top="0.75" bottom="0.75" header="0.3" footer="0.3"/>
  <pageSetup orientation="landscape" r:id="rId1"/>
  <headerFooter>
    <oddHeader>&amp;LSmith Engineering Company&amp;R&amp;D</oddHeader>
    <oddFooter>&amp;L&amp;"Arial Narrow,Regular"&amp;9&amp;Z&amp;F&amp;A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7"/>
  <sheetViews>
    <sheetView workbookViewId="0">
      <selection activeCell="G6" sqref="G6"/>
    </sheetView>
  </sheetViews>
  <sheetFormatPr defaultRowHeight="16.5" x14ac:dyDescent="0.3"/>
  <cols>
    <col min="1" max="1" width="15" style="1" customWidth="1"/>
    <col min="2" max="2" width="13.42578125" style="1" customWidth="1"/>
    <col min="3" max="16384" width="9.140625" style="1"/>
  </cols>
  <sheetData>
    <row r="1" spans="1:8" x14ac:dyDescent="0.3">
      <c r="A1" s="1" t="s">
        <v>0</v>
      </c>
    </row>
    <row r="3" spans="1:8" x14ac:dyDescent="0.3">
      <c r="A3" s="1" t="s">
        <v>79</v>
      </c>
    </row>
    <row r="4" spans="1:8" x14ac:dyDescent="0.3">
      <c r="A4" s="1" t="s">
        <v>80</v>
      </c>
    </row>
    <row r="8" spans="1:8" ht="49.5" x14ac:dyDescent="0.3">
      <c r="A8" s="2" t="s">
        <v>60</v>
      </c>
      <c r="B8" s="2" t="s">
        <v>57</v>
      </c>
      <c r="C8" s="2" t="s">
        <v>9</v>
      </c>
      <c r="D8" s="2"/>
      <c r="E8" s="2"/>
      <c r="F8" s="2"/>
      <c r="G8" s="2"/>
    </row>
    <row r="9" spans="1:8" x14ac:dyDescent="0.3">
      <c r="A9" s="1" t="s">
        <v>13</v>
      </c>
      <c r="B9" s="3" t="s">
        <v>12</v>
      </c>
      <c r="C9" s="3" t="s">
        <v>12</v>
      </c>
      <c r="D9" s="3"/>
      <c r="E9" s="3"/>
      <c r="F9" s="3"/>
      <c r="G9" s="3"/>
      <c r="H9" s="3"/>
    </row>
    <row r="10" spans="1:8" x14ac:dyDescent="0.3">
      <c r="B10" s="3"/>
      <c r="C10" s="3"/>
      <c r="D10" s="3"/>
      <c r="E10" s="3"/>
      <c r="F10" s="3"/>
      <c r="G10" s="3"/>
      <c r="H10" s="3"/>
    </row>
    <row r="11" spans="1:8" x14ac:dyDescent="0.3">
      <c r="A11" s="1" t="s">
        <v>59</v>
      </c>
      <c r="B11" s="3">
        <v>0</v>
      </c>
      <c r="C11" s="3">
        <v>10</v>
      </c>
      <c r="D11" s="3"/>
      <c r="E11" s="3"/>
      <c r="F11" s="3"/>
      <c r="G11" s="3"/>
      <c r="H11" s="3"/>
    </row>
    <row r="12" spans="1:8" x14ac:dyDescent="0.3">
      <c r="A12" s="1" t="s">
        <v>58</v>
      </c>
      <c r="B12" s="3">
        <v>50</v>
      </c>
      <c r="C12" s="3">
        <v>8</v>
      </c>
      <c r="D12" s="3"/>
      <c r="E12" s="3"/>
      <c r="F12" s="3"/>
      <c r="G12" s="3"/>
      <c r="H12" s="3"/>
    </row>
    <row r="13" spans="1:8" x14ac:dyDescent="0.3">
      <c r="A13" s="1" t="s">
        <v>61</v>
      </c>
      <c r="B13" s="3">
        <v>100</v>
      </c>
      <c r="C13" s="3">
        <v>7</v>
      </c>
      <c r="D13" s="3"/>
      <c r="E13" s="3"/>
      <c r="F13" s="3"/>
      <c r="G13" s="3"/>
      <c r="H13" s="3"/>
    </row>
    <row r="14" spans="1:8" x14ac:dyDescent="0.3">
      <c r="B14" s="3"/>
      <c r="C14" s="3"/>
      <c r="D14" s="3"/>
      <c r="E14" s="3"/>
      <c r="F14" s="3"/>
      <c r="G14" s="3"/>
      <c r="H14" s="3"/>
    </row>
    <row r="15" spans="1:8" x14ac:dyDescent="0.3">
      <c r="B15" s="3"/>
      <c r="C15" s="3"/>
      <c r="D15" s="3"/>
      <c r="E15" s="3"/>
      <c r="F15" s="3"/>
      <c r="G15" s="3"/>
      <c r="H15" s="3"/>
    </row>
    <row r="16" spans="1:8" x14ac:dyDescent="0.3">
      <c r="B16" s="3"/>
      <c r="C16" s="3"/>
      <c r="D16" s="3"/>
      <c r="E16" s="3"/>
      <c r="F16" s="3"/>
      <c r="G16" s="3"/>
      <c r="H16" s="3"/>
    </row>
    <row r="17" spans="2:8" x14ac:dyDescent="0.3">
      <c r="B17" s="3"/>
      <c r="C17" s="3"/>
      <c r="D17" s="3"/>
      <c r="E17" s="3"/>
      <c r="F17" s="3"/>
      <c r="G17" s="3"/>
      <c r="H17" s="3"/>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34"/>
  <sheetViews>
    <sheetView topLeftCell="A7" zoomScale="130" zoomScaleNormal="130" workbookViewId="0">
      <selection activeCell="H35" sqref="H35"/>
    </sheetView>
  </sheetViews>
  <sheetFormatPr defaultRowHeight="12.75" x14ac:dyDescent="0.2"/>
  <cols>
    <col min="1" max="1" width="19.140625" style="65" customWidth="1"/>
    <col min="2" max="2" width="4.7109375" style="76" customWidth="1"/>
    <col min="3" max="3" width="5.5703125" style="76" customWidth="1"/>
    <col min="4" max="4" width="12" style="65" customWidth="1"/>
    <col min="5" max="5" width="10" style="65" customWidth="1"/>
    <col min="6" max="6" width="9.28515625" style="65" customWidth="1"/>
    <col min="7" max="7" width="10.42578125" style="65" customWidth="1"/>
    <col min="8" max="8" width="9.28515625" style="76" customWidth="1"/>
    <col min="9" max="9" width="9.28515625" style="65" customWidth="1"/>
    <col min="10" max="12" width="9.28515625" style="116" customWidth="1"/>
    <col min="13" max="16" width="9.28515625" style="65" customWidth="1"/>
    <col min="17" max="20" width="9.28515625" style="86" customWidth="1"/>
    <col min="21" max="16384" width="9.140625" style="65"/>
  </cols>
  <sheetData>
    <row r="1" spans="1:20" ht="15.75" x14ac:dyDescent="0.2">
      <c r="A1" s="131" t="s">
        <v>190</v>
      </c>
      <c r="B1" s="131"/>
      <c r="C1" s="131"/>
      <c r="D1" s="131"/>
      <c r="E1" s="131"/>
      <c r="F1" s="131"/>
      <c r="G1" s="131"/>
      <c r="H1" s="132"/>
      <c r="I1" s="132"/>
      <c r="J1" s="133"/>
      <c r="K1" s="133"/>
      <c r="L1" s="133"/>
      <c r="M1" s="132"/>
      <c r="N1" s="132"/>
      <c r="O1" s="132"/>
      <c r="P1" s="132"/>
      <c r="Q1" s="134" t="s">
        <v>173</v>
      </c>
      <c r="R1" s="237"/>
      <c r="S1" s="237"/>
      <c r="T1" s="134"/>
    </row>
    <row r="2" spans="1:20" ht="7.5" customHeight="1" x14ac:dyDescent="0.2">
      <c r="A2" s="131"/>
      <c r="B2" s="131"/>
      <c r="C2" s="131"/>
      <c r="D2" s="131"/>
      <c r="E2" s="131"/>
      <c r="F2" s="131"/>
      <c r="G2" s="131"/>
      <c r="H2" s="132"/>
      <c r="I2" s="132"/>
      <c r="J2" s="133"/>
      <c r="K2" s="133"/>
      <c r="L2" s="133"/>
      <c r="M2" s="132"/>
      <c r="N2" s="132"/>
      <c r="O2" s="132"/>
      <c r="P2" s="132"/>
      <c r="Q2" s="134"/>
      <c r="R2" s="134"/>
      <c r="S2" s="134"/>
      <c r="T2" s="134"/>
    </row>
    <row r="3" spans="1:20" ht="15.75" x14ac:dyDescent="0.2">
      <c r="A3" s="131" t="s">
        <v>174</v>
      </c>
      <c r="B3" s="131"/>
      <c r="C3" s="131"/>
      <c r="D3" s="131"/>
      <c r="E3" s="131"/>
      <c r="F3" s="131"/>
      <c r="G3" s="131"/>
      <c r="H3" s="132"/>
      <c r="I3" s="132"/>
      <c r="J3" s="133"/>
      <c r="K3" s="133"/>
      <c r="L3" s="133"/>
      <c r="M3" s="132"/>
      <c r="N3" s="132"/>
      <c r="O3" s="132"/>
      <c r="P3" s="132"/>
      <c r="Q3" s="134"/>
      <c r="R3" s="134"/>
      <c r="S3" s="134"/>
      <c r="T3" s="134"/>
    </row>
    <row r="4" spans="1:20" ht="15.75" x14ac:dyDescent="0.2">
      <c r="A4" s="152"/>
      <c r="B4" s="153"/>
      <c r="C4" s="153"/>
      <c r="D4" s="152"/>
      <c r="E4" s="216"/>
      <c r="F4" s="217"/>
      <c r="G4" s="217"/>
      <c r="H4" s="218"/>
      <c r="I4" s="213"/>
      <c r="J4" s="223"/>
      <c r="K4" s="214"/>
      <c r="L4" s="214"/>
      <c r="M4" s="213"/>
      <c r="N4" s="215" t="s">
        <v>133</v>
      </c>
      <c r="O4" s="213"/>
      <c r="P4" s="213"/>
      <c r="Q4" s="219"/>
      <c r="R4" s="219"/>
      <c r="S4" s="219"/>
      <c r="T4" s="224"/>
    </row>
    <row r="5" spans="1:20" ht="84" customHeight="1" x14ac:dyDescent="0.2">
      <c r="A5" s="131"/>
      <c r="B5" s="138"/>
      <c r="C5" s="138"/>
      <c r="D5" s="262" t="s">
        <v>183</v>
      </c>
      <c r="E5" s="220" t="s">
        <v>152</v>
      </c>
      <c r="F5" s="221" t="s">
        <v>175</v>
      </c>
      <c r="G5" s="222" t="s">
        <v>176</v>
      </c>
      <c r="H5" s="220" t="s">
        <v>164</v>
      </c>
      <c r="I5" s="222" t="s">
        <v>165</v>
      </c>
      <c r="J5" s="220" t="s">
        <v>157</v>
      </c>
      <c r="K5" s="221" t="s">
        <v>177</v>
      </c>
      <c r="L5" s="222" t="s">
        <v>178</v>
      </c>
      <c r="M5" s="220" t="s">
        <v>166</v>
      </c>
      <c r="N5" s="222" t="s">
        <v>167</v>
      </c>
      <c r="O5" s="222" t="s">
        <v>168</v>
      </c>
      <c r="P5" s="222" t="s">
        <v>169</v>
      </c>
      <c r="Q5" s="222" t="s">
        <v>170</v>
      </c>
      <c r="R5" s="220" t="s">
        <v>162</v>
      </c>
      <c r="S5" s="236" t="s">
        <v>179</v>
      </c>
      <c r="T5" s="225" t="s">
        <v>180</v>
      </c>
    </row>
    <row r="6" spans="1:20" ht="63.75" x14ac:dyDescent="0.2">
      <c r="A6" s="175" t="s">
        <v>160</v>
      </c>
      <c r="B6" s="70" t="s">
        <v>142</v>
      </c>
      <c r="C6" s="70" t="s">
        <v>131</v>
      </c>
      <c r="D6" s="263" t="s">
        <v>184</v>
      </c>
      <c r="E6" s="147" t="s">
        <v>143</v>
      </c>
      <c r="F6" s="87" t="s">
        <v>143</v>
      </c>
      <c r="G6" s="87" t="s">
        <v>143</v>
      </c>
      <c r="H6" s="147" t="s">
        <v>143</v>
      </c>
      <c r="I6" s="87" t="s">
        <v>134</v>
      </c>
      <c r="J6" s="147" t="s">
        <v>143</v>
      </c>
      <c r="K6" s="87" t="s">
        <v>143</v>
      </c>
      <c r="L6" s="87" t="s">
        <v>143</v>
      </c>
      <c r="M6" s="147" t="s">
        <v>143</v>
      </c>
      <c r="N6" s="87" t="s">
        <v>143</v>
      </c>
      <c r="O6" s="87" t="s">
        <v>143</v>
      </c>
      <c r="P6" s="87" t="s">
        <v>143</v>
      </c>
      <c r="Q6" s="87" t="s">
        <v>143</v>
      </c>
      <c r="R6" s="147" t="s">
        <v>143</v>
      </c>
      <c r="S6" s="269" t="s">
        <v>143</v>
      </c>
      <c r="T6" s="166" t="s">
        <v>143</v>
      </c>
    </row>
    <row r="7" spans="1:20" x14ac:dyDescent="0.2">
      <c r="A7" s="176"/>
      <c r="B7" s="87"/>
      <c r="C7" s="87"/>
      <c r="D7" s="264"/>
      <c r="E7" s="147" t="s">
        <v>12</v>
      </c>
      <c r="F7" s="87" t="s">
        <v>12</v>
      </c>
      <c r="G7" s="87" t="s">
        <v>12</v>
      </c>
      <c r="H7" s="147" t="s">
        <v>12</v>
      </c>
      <c r="I7" s="87" t="s">
        <v>12</v>
      </c>
      <c r="J7" s="147" t="s">
        <v>12</v>
      </c>
      <c r="K7" s="87" t="s">
        <v>12</v>
      </c>
      <c r="L7" s="87" t="s">
        <v>12</v>
      </c>
      <c r="M7" s="147" t="s">
        <v>12</v>
      </c>
      <c r="N7" s="87" t="s">
        <v>12</v>
      </c>
      <c r="O7" s="87" t="s">
        <v>12</v>
      </c>
      <c r="P7" s="87" t="s">
        <v>12</v>
      </c>
      <c r="Q7" s="87" t="s">
        <v>12</v>
      </c>
      <c r="R7" s="147" t="s">
        <v>12</v>
      </c>
      <c r="S7" s="269" t="s">
        <v>12</v>
      </c>
      <c r="T7" s="166" t="s">
        <v>12</v>
      </c>
    </row>
    <row r="8" spans="1:20" x14ac:dyDescent="0.2">
      <c r="A8" s="177"/>
      <c r="B8" s="74"/>
      <c r="C8" s="74"/>
      <c r="D8" s="265" t="s">
        <v>63</v>
      </c>
      <c r="E8" s="75" t="s">
        <v>136</v>
      </c>
      <c r="F8" s="74" t="s">
        <v>136</v>
      </c>
      <c r="G8" s="74" t="s">
        <v>136</v>
      </c>
      <c r="H8" s="75" t="s">
        <v>136</v>
      </c>
      <c r="I8" s="74" t="s">
        <v>136</v>
      </c>
      <c r="J8" s="75" t="s">
        <v>136</v>
      </c>
      <c r="K8" s="74" t="s">
        <v>136</v>
      </c>
      <c r="L8" s="74" t="s">
        <v>136</v>
      </c>
      <c r="M8" s="75" t="s">
        <v>136</v>
      </c>
      <c r="N8" s="74" t="s">
        <v>136</v>
      </c>
      <c r="O8" s="74" t="s">
        <v>136</v>
      </c>
      <c r="P8" s="74" t="s">
        <v>136</v>
      </c>
      <c r="Q8" s="74" t="s">
        <v>136</v>
      </c>
      <c r="R8" s="75" t="s">
        <v>136</v>
      </c>
      <c r="S8" s="270" t="s">
        <v>136</v>
      </c>
      <c r="T8" s="79" t="s">
        <v>136</v>
      </c>
    </row>
    <row r="9" spans="1:20" x14ac:dyDescent="0.2">
      <c r="A9" s="178" t="s">
        <v>107</v>
      </c>
      <c r="B9" s="180" t="s">
        <v>62</v>
      </c>
      <c r="C9" s="180" t="s">
        <v>12</v>
      </c>
      <c r="D9" s="266">
        <v>80</v>
      </c>
      <c r="E9" s="182">
        <v>0</v>
      </c>
      <c r="F9" s="183">
        <v>0</v>
      </c>
      <c r="G9" s="196" t="s">
        <v>117</v>
      </c>
      <c r="H9" s="182">
        <v>0</v>
      </c>
      <c r="I9" s="183">
        <v>0</v>
      </c>
      <c r="J9" s="182">
        <v>0</v>
      </c>
      <c r="K9" s="183">
        <v>0</v>
      </c>
      <c r="L9" s="196" t="s">
        <v>117</v>
      </c>
      <c r="M9" s="182">
        <v>0</v>
      </c>
      <c r="N9" s="183">
        <v>0</v>
      </c>
      <c r="O9" s="183">
        <v>0</v>
      </c>
      <c r="P9" s="183">
        <v>0</v>
      </c>
      <c r="Q9" s="183">
        <v>0</v>
      </c>
      <c r="R9" s="182">
        <v>0</v>
      </c>
      <c r="S9" s="268">
        <v>19.478486922383155</v>
      </c>
      <c r="T9" s="226" t="s">
        <v>117</v>
      </c>
    </row>
    <row r="10" spans="1:20" x14ac:dyDescent="0.2">
      <c r="A10" s="178" t="s">
        <v>108</v>
      </c>
      <c r="B10" s="180" t="s">
        <v>62</v>
      </c>
      <c r="C10" s="180" t="s">
        <v>12</v>
      </c>
      <c r="D10" s="266">
        <v>90</v>
      </c>
      <c r="E10" s="182">
        <v>0</v>
      </c>
      <c r="F10" s="183">
        <v>0</v>
      </c>
      <c r="G10" s="196" t="s">
        <v>117</v>
      </c>
      <c r="H10" s="182">
        <v>0</v>
      </c>
      <c r="I10" s="183">
        <v>0</v>
      </c>
      <c r="J10" s="182">
        <v>0</v>
      </c>
      <c r="K10" s="183">
        <v>0</v>
      </c>
      <c r="L10" s="196" t="s">
        <v>117</v>
      </c>
      <c r="M10" s="182">
        <v>0</v>
      </c>
      <c r="N10" s="183">
        <v>0</v>
      </c>
      <c r="O10" s="183">
        <v>0</v>
      </c>
      <c r="P10" s="183">
        <v>0</v>
      </c>
      <c r="Q10" s="183">
        <v>0</v>
      </c>
      <c r="R10" s="182">
        <v>0</v>
      </c>
      <c r="S10" s="268">
        <v>6.9154862326913893</v>
      </c>
      <c r="T10" s="226" t="s">
        <v>117</v>
      </c>
    </row>
    <row r="11" spans="1:20" x14ac:dyDescent="0.2">
      <c r="A11" s="178" t="s">
        <v>109</v>
      </c>
      <c r="B11" s="180" t="s">
        <v>62</v>
      </c>
      <c r="C11" s="180" t="s">
        <v>12</v>
      </c>
      <c r="D11" s="266">
        <v>70</v>
      </c>
      <c r="E11" s="182">
        <v>0</v>
      </c>
      <c r="F11" s="183">
        <v>0</v>
      </c>
      <c r="G11" s="196" t="s">
        <v>117</v>
      </c>
      <c r="H11" s="182">
        <v>0</v>
      </c>
      <c r="I11" s="183">
        <v>0</v>
      </c>
      <c r="J11" s="182">
        <v>0</v>
      </c>
      <c r="K11" s="183">
        <v>0</v>
      </c>
      <c r="L11" s="196" t="s">
        <v>117</v>
      </c>
      <c r="M11" s="182">
        <v>0</v>
      </c>
      <c r="N11" s="183">
        <v>0</v>
      </c>
      <c r="O11" s="183">
        <v>0</v>
      </c>
      <c r="P11" s="183">
        <v>0</v>
      </c>
      <c r="Q11" s="183">
        <v>0</v>
      </c>
      <c r="R11" s="182">
        <v>0</v>
      </c>
      <c r="S11" s="268">
        <v>6.607777600933737</v>
      </c>
      <c r="T11" s="226" t="s">
        <v>117</v>
      </c>
    </row>
    <row r="12" spans="1:20" x14ac:dyDescent="0.2">
      <c r="A12" s="178" t="s">
        <v>204</v>
      </c>
      <c r="B12" s="180" t="s">
        <v>62</v>
      </c>
      <c r="C12" s="180" t="s">
        <v>12</v>
      </c>
      <c r="D12" s="266">
        <v>57</v>
      </c>
      <c r="E12" s="182">
        <v>1</v>
      </c>
      <c r="F12" s="183">
        <v>70</v>
      </c>
      <c r="G12" s="196" t="s">
        <v>117</v>
      </c>
      <c r="H12" s="182">
        <v>70</v>
      </c>
      <c r="I12" s="183">
        <v>70</v>
      </c>
      <c r="J12" s="182">
        <v>70</v>
      </c>
      <c r="K12" s="183">
        <v>0</v>
      </c>
      <c r="L12" s="196" t="s">
        <v>117</v>
      </c>
      <c r="M12" s="182">
        <v>70</v>
      </c>
      <c r="N12" s="183">
        <v>70</v>
      </c>
      <c r="O12" s="183">
        <v>70</v>
      </c>
      <c r="P12" s="183">
        <v>70</v>
      </c>
      <c r="Q12" s="183">
        <v>70</v>
      </c>
      <c r="R12" s="182">
        <v>70</v>
      </c>
      <c r="S12" s="268">
        <v>54.414027269351159</v>
      </c>
      <c r="T12" s="226" t="s">
        <v>117</v>
      </c>
    </row>
    <row r="13" spans="1:20" x14ac:dyDescent="0.2">
      <c r="A13" s="178" t="s">
        <v>111</v>
      </c>
      <c r="B13" s="180" t="s">
        <v>62</v>
      </c>
      <c r="C13" s="180" t="s">
        <v>12</v>
      </c>
      <c r="D13" s="266">
        <v>7</v>
      </c>
      <c r="E13" s="182">
        <v>0</v>
      </c>
      <c r="F13" s="183">
        <v>10</v>
      </c>
      <c r="G13" s="196" t="s">
        <v>117</v>
      </c>
      <c r="H13" s="182">
        <v>10</v>
      </c>
      <c r="I13" s="183">
        <v>10</v>
      </c>
      <c r="J13" s="182">
        <v>10</v>
      </c>
      <c r="K13" s="183">
        <v>0</v>
      </c>
      <c r="L13" s="196" t="s">
        <v>117</v>
      </c>
      <c r="M13" s="182">
        <v>10</v>
      </c>
      <c r="N13" s="183">
        <v>10</v>
      </c>
      <c r="O13" s="183">
        <v>10</v>
      </c>
      <c r="P13" s="183">
        <v>10</v>
      </c>
      <c r="Q13" s="183">
        <v>10</v>
      </c>
      <c r="R13" s="182">
        <v>10</v>
      </c>
      <c r="S13" s="268">
        <v>0.68703910021751824</v>
      </c>
      <c r="T13" s="226" t="s">
        <v>117</v>
      </c>
    </row>
    <row r="14" spans="1:20" x14ac:dyDescent="0.2">
      <c r="A14" s="178" t="s">
        <v>112</v>
      </c>
      <c r="B14" s="180" t="s">
        <v>193</v>
      </c>
      <c r="C14" s="180" t="s">
        <v>12</v>
      </c>
      <c r="D14" s="266">
        <v>90</v>
      </c>
      <c r="E14" s="182">
        <v>1</v>
      </c>
      <c r="F14" s="183">
        <v>10</v>
      </c>
      <c r="G14" s="196" t="s">
        <v>117</v>
      </c>
      <c r="H14" s="182">
        <v>10</v>
      </c>
      <c r="I14" s="183">
        <v>10</v>
      </c>
      <c r="J14" s="182">
        <v>10</v>
      </c>
      <c r="K14" s="183">
        <v>95</v>
      </c>
      <c r="L14" s="196" t="s">
        <v>117</v>
      </c>
      <c r="M14" s="182">
        <v>10</v>
      </c>
      <c r="N14" s="183">
        <v>10</v>
      </c>
      <c r="O14" s="183">
        <v>10</v>
      </c>
      <c r="P14" s="183">
        <v>10</v>
      </c>
      <c r="Q14" s="183">
        <v>10</v>
      </c>
      <c r="R14" s="182">
        <v>10</v>
      </c>
      <c r="S14" s="268">
        <v>0.37933046845986529</v>
      </c>
      <c r="T14" s="226" t="s">
        <v>117</v>
      </c>
    </row>
    <row r="15" spans="1:20" x14ac:dyDescent="0.2">
      <c r="A15" s="179" t="s">
        <v>113</v>
      </c>
      <c r="B15" s="180" t="s">
        <v>193</v>
      </c>
      <c r="C15" s="180" t="s">
        <v>12</v>
      </c>
      <c r="D15" s="267">
        <v>0</v>
      </c>
      <c r="E15" s="185">
        <v>98</v>
      </c>
      <c r="F15" s="186">
        <v>10</v>
      </c>
      <c r="G15" s="196" t="s">
        <v>117</v>
      </c>
      <c r="H15" s="185">
        <v>10</v>
      </c>
      <c r="I15" s="186">
        <v>10</v>
      </c>
      <c r="J15" s="185">
        <v>10</v>
      </c>
      <c r="K15" s="186">
        <v>5</v>
      </c>
      <c r="L15" s="196" t="s">
        <v>117</v>
      </c>
      <c r="M15" s="185">
        <v>10</v>
      </c>
      <c r="N15" s="186">
        <v>10</v>
      </c>
      <c r="O15" s="186">
        <v>10</v>
      </c>
      <c r="P15" s="186">
        <v>10</v>
      </c>
      <c r="Q15" s="186">
        <v>10</v>
      </c>
      <c r="R15" s="185">
        <v>10</v>
      </c>
      <c r="S15" s="268">
        <v>11.517852405963183</v>
      </c>
      <c r="T15" s="226" t="s">
        <v>117</v>
      </c>
    </row>
    <row r="16" spans="1:20" x14ac:dyDescent="0.2">
      <c r="A16" s="192"/>
      <c r="B16" s="190"/>
      <c r="C16" s="191"/>
      <c r="D16" s="187" t="s">
        <v>144</v>
      </c>
      <c r="E16" s="239">
        <f>SUM(E9:E15)</f>
        <v>100</v>
      </c>
      <c r="F16" s="240">
        <f t="shared" ref="F16" si="0">SUM(F9:F15)</f>
        <v>100</v>
      </c>
      <c r="G16" s="241" t="s">
        <v>117</v>
      </c>
      <c r="H16" s="239">
        <f>SUM(H9:H15)</f>
        <v>100</v>
      </c>
      <c r="I16" s="240">
        <f t="shared" ref="I16:Q16" si="1">SUM(I9:I15)</f>
        <v>100</v>
      </c>
      <c r="J16" s="239">
        <f t="shared" ref="J16:K16" si="2">SUM(J9:J15)</f>
        <v>100</v>
      </c>
      <c r="K16" s="240">
        <f t="shared" si="2"/>
        <v>100</v>
      </c>
      <c r="L16" s="241" t="s">
        <v>117</v>
      </c>
      <c r="M16" s="239">
        <f t="shared" si="1"/>
        <v>100</v>
      </c>
      <c r="N16" s="240">
        <f t="shared" si="1"/>
        <v>100</v>
      </c>
      <c r="O16" s="240">
        <f t="shared" si="1"/>
        <v>100</v>
      </c>
      <c r="P16" s="240">
        <f t="shared" si="1"/>
        <v>100</v>
      </c>
      <c r="Q16" s="240">
        <f t="shared" si="1"/>
        <v>100</v>
      </c>
      <c r="R16" s="239">
        <f t="shared" ref="R16:S16" si="3">SUM(R9:R15)</f>
        <v>100</v>
      </c>
      <c r="S16" s="240">
        <f t="shared" si="3"/>
        <v>100</v>
      </c>
      <c r="T16" s="242" t="s">
        <v>117</v>
      </c>
    </row>
    <row r="17" spans="1:20" x14ac:dyDescent="0.2">
      <c r="A17" s="136" t="s">
        <v>123</v>
      </c>
      <c r="B17" s="193" t="s">
        <v>148</v>
      </c>
      <c r="C17" s="140" t="s">
        <v>10</v>
      </c>
      <c r="D17" s="141" t="s">
        <v>135</v>
      </c>
      <c r="E17" s="148">
        <f>E18/640</f>
        <v>4.1515624999999998</v>
      </c>
      <c r="F17" s="140">
        <f t="shared" ref="F17:T17" si="4">F18/640</f>
        <v>4.1515624999999998</v>
      </c>
      <c r="G17" s="167">
        <f t="shared" si="4"/>
        <v>4.1515624999999998</v>
      </c>
      <c r="H17" s="140">
        <f t="shared" si="4"/>
        <v>3.3921874999999999</v>
      </c>
      <c r="I17" s="167">
        <f t="shared" si="4"/>
        <v>1.6828125</v>
      </c>
      <c r="J17" s="140">
        <f t="shared" si="4"/>
        <v>4.1671874999999998</v>
      </c>
      <c r="K17" s="140">
        <f t="shared" si="4"/>
        <v>4.1671874999999998</v>
      </c>
      <c r="L17" s="167">
        <f t="shared" si="4"/>
        <v>4.1671874999999998</v>
      </c>
      <c r="M17" s="140">
        <f t="shared" si="4"/>
        <v>1.60625</v>
      </c>
      <c r="N17" s="140">
        <f t="shared" si="4"/>
        <v>25.4453125</v>
      </c>
      <c r="O17" s="140">
        <f t="shared" si="4"/>
        <v>10.03125</v>
      </c>
      <c r="P17" s="140">
        <f t="shared" si="4"/>
        <v>10.46875</v>
      </c>
      <c r="Q17" s="167">
        <f t="shared" si="4"/>
        <v>2.8093750000000002</v>
      </c>
      <c r="R17" s="148">
        <f t="shared" si="4"/>
        <v>1.58125</v>
      </c>
      <c r="S17" s="140">
        <f t="shared" si="4"/>
        <v>1.58125</v>
      </c>
      <c r="T17" s="167">
        <f t="shared" si="4"/>
        <v>1.58125</v>
      </c>
    </row>
    <row r="18" spans="1:20" x14ac:dyDescent="0.2">
      <c r="A18" s="204" t="s">
        <v>123</v>
      </c>
      <c r="B18" s="205" t="s">
        <v>148</v>
      </c>
      <c r="C18" s="206" t="s">
        <v>100</v>
      </c>
      <c r="D18" s="207" t="s">
        <v>135</v>
      </c>
      <c r="E18" s="208">
        <v>2657</v>
      </c>
      <c r="F18" s="209">
        <v>2657</v>
      </c>
      <c r="G18" s="210">
        <v>2657</v>
      </c>
      <c r="H18" s="243">
        <v>2171</v>
      </c>
      <c r="I18" s="244">
        <v>1077</v>
      </c>
      <c r="J18" s="243">
        <v>2667</v>
      </c>
      <c r="K18" s="243">
        <v>2667</v>
      </c>
      <c r="L18" s="244">
        <v>2667</v>
      </c>
      <c r="M18" s="243">
        <v>1028</v>
      </c>
      <c r="N18" s="243">
        <v>16285</v>
      </c>
      <c r="O18" s="243">
        <v>6420</v>
      </c>
      <c r="P18" s="243">
        <v>6700</v>
      </c>
      <c r="Q18" s="244">
        <v>1798</v>
      </c>
      <c r="R18" s="245">
        <v>1012</v>
      </c>
      <c r="S18" s="243">
        <v>1012</v>
      </c>
      <c r="T18" s="244">
        <v>1012</v>
      </c>
    </row>
    <row r="19" spans="1:20" x14ac:dyDescent="0.2">
      <c r="A19" s="246" t="s">
        <v>104</v>
      </c>
      <c r="B19" s="247" t="s">
        <v>15</v>
      </c>
      <c r="C19" s="248" t="s">
        <v>122</v>
      </c>
      <c r="D19" s="250" t="s">
        <v>135</v>
      </c>
      <c r="E19" s="251">
        <v>19700000</v>
      </c>
      <c r="F19" s="252">
        <v>250000</v>
      </c>
      <c r="G19" s="252">
        <f>SUM(E19:F19)</f>
        <v>19950000</v>
      </c>
      <c r="H19" s="251">
        <v>55000000</v>
      </c>
      <c r="I19" s="252">
        <v>1000000</v>
      </c>
      <c r="J19" s="251">
        <v>55000000</v>
      </c>
      <c r="K19" s="252">
        <v>5000000</v>
      </c>
      <c r="L19" s="252">
        <f>SUM(J19:K19)</f>
        <v>60000000</v>
      </c>
      <c r="M19" s="251">
        <v>1000000</v>
      </c>
      <c r="N19" s="252">
        <v>100000</v>
      </c>
      <c r="O19" s="252">
        <v>1000000</v>
      </c>
      <c r="P19" s="252">
        <v>10000000</v>
      </c>
      <c r="Q19" s="252">
        <v>1000000</v>
      </c>
      <c r="R19" s="251">
        <v>1000000</v>
      </c>
      <c r="S19" s="252">
        <v>16421248.800000001</v>
      </c>
      <c r="T19" s="253">
        <f>SUM(R19:S19)</f>
        <v>17421248.800000001</v>
      </c>
    </row>
    <row r="20" spans="1:20" x14ac:dyDescent="0.2">
      <c r="A20" s="136" t="s">
        <v>104</v>
      </c>
      <c r="B20" s="193" t="s">
        <v>15</v>
      </c>
      <c r="C20" s="139" t="s">
        <v>100</v>
      </c>
      <c r="D20" s="141" t="s">
        <v>135</v>
      </c>
      <c r="E20" s="149">
        <f>E19/43560</f>
        <v>452.24977043158862</v>
      </c>
      <c r="F20" s="146">
        <f t="shared" ref="F20:G20" si="5">F19/43560</f>
        <v>5.7392102846648303</v>
      </c>
      <c r="G20" s="146">
        <f t="shared" si="5"/>
        <v>457.98898071625342</v>
      </c>
      <c r="H20" s="149">
        <f>H19/43560</f>
        <v>1262.6262626262626</v>
      </c>
      <c r="I20" s="146">
        <f t="shared" ref="I20:T20" si="6">I19/43560</f>
        <v>22.956841138659321</v>
      </c>
      <c r="J20" s="149">
        <f t="shared" si="6"/>
        <v>1262.6262626262626</v>
      </c>
      <c r="K20" s="146">
        <f t="shared" si="6"/>
        <v>114.7842056932966</v>
      </c>
      <c r="L20" s="146">
        <f t="shared" si="6"/>
        <v>1377.4104683195592</v>
      </c>
      <c r="M20" s="149">
        <f t="shared" si="6"/>
        <v>22.956841138659321</v>
      </c>
      <c r="N20" s="146">
        <f t="shared" si="6"/>
        <v>2.2956841138659319</v>
      </c>
      <c r="O20" s="146">
        <f t="shared" si="6"/>
        <v>22.956841138659321</v>
      </c>
      <c r="P20" s="146">
        <f t="shared" si="6"/>
        <v>229.5684113865932</v>
      </c>
      <c r="Q20" s="146">
        <f t="shared" si="6"/>
        <v>22.956841138659321</v>
      </c>
      <c r="R20" s="149">
        <f t="shared" si="6"/>
        <v>22.956841138659321</v>
      </c>
      <c r="S20" s="146">
        <f t="shared" si="6"/>
        <v>376.98</v>
      </c>
      <c r="T20" s="168">
        <f t="shared" si="6"/>
        <v>399.93684113865936</v>
      </c>
    </row>
    <row r="21" spans="1:20" x14ac:dyDescent="0.2">
      <c r="A21" s="136" t="s">
        <v>104</v>
      </c>
      <c r="B21" s="193" t="s">
        <v>15</v>
      </c>
      <c r="C21" s="139" t="s">
        <v>10</v>
      </c>
      <c r="D21" s="141" t="s">
        <v>135</v>
      </c>
      <c r="E21" s="148">
        <f>E20/640</f>
        <v>0.70664026629935717</v>
      </c>
      <c r="F21" s="140">
        <f t="shared" ref="F21:G21" si="7">F20/640</f>
        <v>8.967516069788798E-3</v>
      </c>
      <c r="G21" s="140">
        <f t="shared" si="7"/>
        <v>0.71560778236914602</v>
      </c>
      <c r="H21" s="148">
        <f>H20/640</f>
        <v>1.9728535353535352</v>
      </c>
      <c r="I21" s="140">
        <f t="shared" ref="I21:T21" si="8">I20/640</f>
        <v>3.5870064279155192E-2</v>
      </c>
      <c r="J21" s="148">
        <f t="shared" si="8"/>
        <v>1.9728535353535352</v>
      </c>
      <c r="K21" s="140">
        <f t="shared" si="8"/>
        <v>0.17935032139577595</v>
      </c>
      <c r="L21" s="140">
        <f t="shared" si="8"/>
        <v>2.1522038567493111</v>
      </c>
      <c r="M21" s="148">
        <f t="shared" si="8"/>
        <v>3.5870064279155192E-2</v>
      </c>
      <c r="N21" s="140">
        <f t="shared" si="8"/>
        <v>3.5870064279155183E-3</v>
      </c>
      <c r="O21" s="140">
        <f t="shared" si="8"/>
        <v>3.5870064279155192E-2</v>
      </c>
      <c r="P21" s="140">
        <f t="shared" si="8"/>
        <v>0.35870064279155189</v>
      </c>
      <c r="Q21" s="140">
        <f t="shared" si="8"/>
        <v>3.5870064279155192E-2</v>
      </c>
      <c r="R21" s="148">
        <f t="shared" si="8"/>
        <v>3.5870064279155192E-2</v>
      </c>
      <c r="S21" s="140">
        <f t="shared" si="8"/>
        <v>0.58903125000000001</v>
      </c>
      <c r="T21" s="167">
        <f t="shared" si="8"/>
        <v>0.6249013142791553</v>
      </c>
    </row>
    <row r="22" spans="1:20" x14ac:dyDescent="0.2">
      <c r="A22" s="254" t="s">
        <v>104</v>
      </c>
      <c r="B22" s="255" t="s">
        <v>15</v>
      </c>
      <c r="C22" s="255" t="s">
        <v>12</v>
      </c>
      <c r="D22" s="256" t="s">
        <v>135</v>
      </c>
      <c r="E22" s="257">
        <f>E21/E17*100</f>
        <v>17.021067761821172</v>
      </c>
      <c r="F22" s="258">
        <f t="shared" ref="F22:G22" si="9">F21/F17*100</f>
        <v>0.21600339799265453</v>
      </c>
      <c r="G22" s="258">
        <f t="shared" si="9"/>
        <v>17.23707115981383</v>
      </c>
      <c r="H22" s="259">
        <f>H21/H17*100</f>
        <v>58.158740793471331</v>
      </c>
      <c r="I22" s="260">
        <f t="shared" ref="I22:T22" si="10">I21/I17*100</f>
        <v>2.1315544232738457</v>
      </c>
      <c r="J22" s="259">
        <f t="shared" si="10"/>
        <v>47.3425670276064</v>
      </c>
      <c r="K22" s="258">
        <f t="shared" si="10"/>
        <v>4.3038697297824005</v>
      </c>
      <c r="L22" s="258">
        <f t="shared" si="10"/>
        <v>51.646436757388791</v>
      </c>
      <c r="M22" s="259">
        <f t="shared" si="10"/>
        <v>2.233155752787872</v>
      </c>
      <c r="N22" s="260">
        <f t="shared" si="10"/>
        <v>1.409692424848592E-2</v>
      </c>
      <c r="O22" s="260">
        <f t="shared" si="10"/>
        <v>0.35758319530621996</v>
      </c>
      <c r="P22" s="260">
        <f t="shared" si="10"/>
        <v>3.426394199799899</v>
      </c>
      <c r="Q22" s="260">
        <f t="shared" si="10"/>
        <v>1.2767987285127542</v>
      </c>
      <c r="R22" s="259">
        <f t="shared" si="10"/>
        <v>2.2684625631086286</v>
      </c>
      <c r="S22" s="258">
        <f t="shared" si="10"/>
        <v>37.250988142292492</v>
      </c>
      <c r="T22" s="261">
        <f t="shared" si="10"/>
        <v>39.519450705401127</v>
      </c>
    </row>
    <row r="23" spans="1:20" x14ac:dyDescent="0.2">
      <c r="A23" s="137" t="s">
        <v>132</v>
      </c>
      <c r="B23" s="193" t="s">
        <v>148</v>
      </c>
      <c r="C23" s="139" t="s">
        <v>10</v>
      </c>
      <c r="D23" s="141" t="s">
        <v>135</v>
      </c>
      <c r="E23" s="148">
        <f>E17-E21</f>
        <v>3.4449222337006429</v>
      </c>
      <c r="F23" s="140">
        <f t="shared" ref="F23:G23" si="11">F17-F21</f>
        <v>4.142594983930211</v>
      </c>
      <c r="G23" s="140">
        <f t="shared" si="11"/>
        <v>3.435954717630854</v>
      </c>
      <c r="H23" s="148">
        <f>H17-H21</f>
        <v>1.4193339646464647</v>
      </c>
      <c r="I23" s="140">
        <f t="shared" ref="I23:T23" si="12">I17-I21</f>
        <v>1.6469424357208449</v>
      </c>
      <c r="J23" s="148">
        <f t="shared" si="12"/>
        <v>2.1943339646464644</v>
      </c>
      <c r="K23" s="140">
        <f t="shared" si="12"/>
        <v>3.9878371786042237</v>
      </c>
      <c r="L23" s="140">
        <f t="shared" si="12"/>
        <v>2.0149836432506887</v>
      </c>
      <c r="M23" s="148">
        <f t="shared" si="12"/>
        <v>1.5703799357208448</v>
      </c>
      <c r="N23" s="140">
        <f t="shared" si="12"/>
        <v>25.441725493572086</v>
      </c>
      <c r="O23" s="140">
        <f t="shared" si="12"/>
        <v>9.9953799357208446</v>
      </c>
      <c r="P23" s="140">
        <f t="shared" si="12"/>
        <v>10.110049357208448</v>
      </c>
      <c r="Q23" s="140">
        <f t="shared" si="12"/>
        <v>2.7735049357208448</v>
      </c>
      <c r="R23" s="148">
        <f t="shared" si="12"/>
        <v>1.5453799357208449</v>
      </c>
      <c r="S23" s="140">
        <f t="shared" si="12"/>
        <v>0.99221875000000004</v>
      </c>
      <c r="T23" s="167">
        <f t="shared" si="12"/>
        <v>0.95634868572084475</v>
      </c>
    </row>
    <row r="24" spans="1:20" ht="25.5" x14ac:dyDescent="0.2">
      <c r="A24" s="137" t="s">
        <v>137</v>
      </c>
      <c r="B24" s="193" t="s">
        <v>148</v>
      </c>
      <c r="C24" s="139" t="s">
        <v>12</v>
      </c>
      <c r="D24" s="141"/>
      <c r="E24" s="150">
        <v>0</v>
      </c>
      <c r="F24" s="145">
        <v>0</v>
      </c>
      <c r="G24" s="145">
        <v>0</v>
      </c>
      <c r="H24" s="150">
        <v>0</v>
      </c>
      <c r="I24" s="145">
        <v>0</v>
      </c>
      <c r="J24" s="150">
        <v>0</v>
      </c>
      <c r="K24" s="145">
        <v>0</v>
      </c>
      <c r="L24" s="145">
        <v>0</v>
      </c>
      <c r="M24" s="150">
        <v>0</v>
      </c>
      <c r="N24" s="145">
        <v>0</v>
      </c>
      <c r="O24" s="145">
        <v>0</v>
      </c>
      <c r="P24" s="145">
        <v>0</v>
      </c>
      <c r="Q24" s="145">
        <v>0</v>
      </c>
      <c r="R24" s="150">
        <v>0</v>
      </c>
      <c r="S24" s="145">
        <v>0</v>
      </c>
      <c r="T24" s="169">
        <v>0</v>
      </c>
    </row>
    <row r="25" spans="1:20" ht="38.25" x14ac:dyDescent="0.2">
      <c r="A25" s="137" t="s">
        <v>115</v>
      </c>
      <c r="B25" s="193" t="s">
        <v>148</v>
      </c>
      <c r="C25" s="139" t="s">
        <v>12</v>
      </c>
      <c r="D25" s="141" t="s">
        <v>135</v>
      </c>
      <c r="E25" s="198">
        <f>E22</f>
        <v>17.021067761821172</v>
      </c>
      <c r="F25" s="199">
        <f t="shared" ref="F25" si="13">($D$9*F9+$D$10*F10+$D$11*F11+$D$12*F12+$D$13*F13+$D$14*F14+$D$15*F15)/F16</f>
        <v>49.6</v>
      </c>
      <c r="G25" s="199">
        <f>(E25*E21+F25*F21)/G21</f>
        <v>17.429325058038952</v>
      </c>
      <c r="H25" s="151">
        <f>($D$9*H9+$D$10*H10+$D$11*H11+$D$12*H12+$D$13*H13+$D$14*H14+$D$15*H15)/H16</f>
        <v>49.6</v>
      </c>
      <c r="I25" s="144">
        <f t="shared" ref="I25:S25" si="14">($D$9*I9+$D$10*I10+$D$11*I11+$D$12*I12+$D$13*I13+$D$14*I14+$D$15*I15)/I16</f>
        <v>49.6</v>
      </c>
      <c r="J25" s="151">
        <f t="shared" si="14"/>
        <v>49.6</v>
      </c>
      <c r="K25" s="199">
        <f t="shared" si="14"/>
        <v>85.5</v>
      </c>
      <c r="L25" s="199">
        <f>(J25*J21+K25*K21)/L21</f>
        <v>52.591666666666669</v>
      </c>
      <c r="M25" s="151">
        <f t="shared" si="14"/>
        <v>49.6</v>
      </c>
      <c r="N25" s="144">
        <f t="shared" si="14"/>
        <v>49.6</v>
      </c>
      <c r="O25" s="144">
        <f t="shared" si="14"/>
        <v>49.6</v>
      </c>
      <c r="P25" s="144">
        <f t="shared" si="14"/>
        <v>49.6</v>
      </c>
      <c r="Q25" s="144">
        <f t="shared" si="14"/>
        <v>49.6</v>
      </c>
      <c r="R25" s="151">
        <f t="shared" si="14"/>
        <v>49.6</v>
      </c>
      <c r="S25" s="199">
        <f t="shared" si="14"/>
        <v>57.837657170141654</v>
      </c>
      <c r="T25" s="228">
        <f>(R25*R21+S25*S21)/T21</f>
        <v>57.364806040770162</v>
      </c>
    </row>
    <row r="26" spans="1:20" ht="25.5" customHeight="1" x14ac:dyDescent="0.2">
      <c r="A26" s="154" t="s">
        <v>145</v>
      </c>
      <c r="B26" s="155" t="s">
        <v>138</v>
      </c>
      <c r="C26" s="155" t="s">
        <v>12</v>
      </c>
      <c r="D26" s="156" t="s">
        <v>135</v>
      </c>
      <c r="E26" s="202">
        <f>E25</f>
        <v>17.021067761821172</v>
      </c>
      <c r="F26" s="203">
        <f t="shared" ref="F26" si="15">(F21*F25+F23*F24)/F17</f>
        <v>0.10713768540435666</v>
      </c>
      <c r="G26" s="203">
        <f>G25</f>
        <v>17.429325058038952</v>
      </c>
      <c r="H26" s="157">
        <f>(H21*H25+H23*H24)/H17</f>
        <v>28.846735433561779</v>
      </c>
      <c r="I26" s="158">
        <f t="shared" ref="I26:T26" si="16">(I21*I25+I23*I24)/I17</f>
        <v>1.0572509939438277</v>
      </c>
      <c r="J26" s="157">
        <f t="shared" si="16"/>
        <v>23.481913245692773</v>
      </c>
      <c r="K26" s="203">
        <f t="shared" si="16"/>
        <v>3.6798086189639521</v>
      </c>
      <c r="L26" s="203">
        <f t="shared" si="16"/>
        <v>27.161721864656727</v>
      </c>
      <c r="M26" s="157">
        <f t="shared" si="16"/>
        <v>1.1076452533827845</v>
      </c>
      <c r="N26" s="158">
        <f t="shared" si="16"/>
        <v>6.9920744272490148E-3</v>
      </c>
      <c r="O26" s="158">
        <f t="shared" si="16"/>
        <v>0.17736126487188511</v>
      </c>
      <c r="P26" s="158">
        <f t="shared" si="16"/>
        <v>1.6994915231007499</v>
      </c>
      <c r="Q26" s="158">
        <f t="shared" si="16"/>
        <v>0.63329216934232613</v>
      </c>
      <c r="R26" s="157">
        <f t="shared" si="16"/>
        <v>1.12515743130188</v>
      </c>
      <c r="S26" s="203">
        <f t="shared" si="16"/>
        <v>21.545098814229249</v>
      </c>
      <c r="T26" s="229">
        <f t="shared" si="16"/>
        <v>22.670256245531132</v>
      </c>
    </row>
    <row r="27" spans="1:20" ht="9" customHeight="1" x14ac:dyDescent="0.2">
      <c r="A27" s="130"/>
      <c r="B27" s="163"/>
      <c r="C27" s="163"/>
      <c r="D27" s="130"/>
      <c r="E27" s="130"/>
      <c r="F27" s="130"/>
      <c r="G27" s="130"/>
      <c r="H27" s="163"/>
      <c r="I27" s="130"/>
      <c r="J27" s="164"/>
      <c r="K27" s="164"/>
      <c r="L27" s="164"/>
      <c r="M27" s="130"/>
      <c r="N27" s="130"/>
      <c r="O27" s="130"/>
      <c r="P27" s="130"/>
      <c r="Q27" s="165"/>
      <c r="R27" s="165"/>
      <c r="S27" s="165"/>
      <c r="T27" s="165"/>
    </row>
    <row r="28" spans="1:20" x14ac:dyDescent="0.2">
      <c r="A28" s="130" t="s">
        <v>194</v>
      </c>
      <c r="B28" s="163"/>
      <c r="C28" s="163"/>
      <c r="D28" s="130"/>
      <c r="E28" s="130"/>
      <c r="F28" s="130"/>
      <c r="G28" s="130"/>
      <c r="H28" s="163"/>
      <c r="I28" s="130"/>
      <c r="J28" s="164"/>
      <c r="K28" s="164"/>
      <c r="L28" s="164"/>
      <c r="M28" s="130"/>
      <c r="N28" s="130"/>
      <c r="O28" s="130"/>
      <c r="P28" s="130"/>
      <c r="Q28" s="165"/>
      <c r="R28" s="165"/>
      <c r="S28" s="165"/>
      <c r="T28" s="165"/>
    </row>
    <row r="29" spans="1:20" x14ac:dyDescent="0.2">
      <c r="A29" s="130" t="s">
        <v>161</v>
      </c>
      <c r="B29" s="163"/>
      <c r="C29" s="163"/>
      <c r="D29" s="130"/>
      <c r="E29" s="130"/>
      <c r="F29" s="130"/>
      <c r="G29" s="130"/>
      <c r="H29" s="163"/>
      <c r="I29" s="130"/>
      <c r="J29" s="164"/>
      <c r="K29" s="164"/>
      <c r="L29" s="164"/>
      <c r="M29" s="130"/>
      <c r="N29" s="130"/>
      <c r="O29" s="130"/>
      <c r="P29" s="130"/>
      <c r="Q29" s="165"/>
      <c r="R29" s="165"/>
      <c r="S29" s="165"/>
      <c r="T29" s="165"/>
    </row>
    <row r="30" spans="1:20" x14ac:dyDescent="0.2">
      <c r="A30" s="130" t="s">
        <v>181</v>
      </c>
      <c r="B30" s="163"/>
      <c r="C30" s="163"/>
      <c r="D30" s="130"/>
      <c r="E30" s="130"/>
      <c r="F30" s="130"/>
      <c r="G30" s="130"/>
      <c r="H30" s="163"/>
      <c r="I30" s="130"/>
      <c r="J30" s="164"/>
      <c r="K30" s="164"/>
      <c r="L30" s="164"/>
      <c r="M30" s="130"/>
      <c r="N30" s="130"/>
      <c r="O30" s="130"/>
      <c r="P30" s="130"/>
      <c r="Q30" s="165"/>
      <c r="R30" s="165"/>
      <c r="S30" s="165"/>
      <c r="T30" s="165"/>
    </row>
    <row r="31" spans="1:20" x14ac:dyDescent="0.2">
      <c r="A31" s="130" t="s">
        <v>146</v>
      </c>
      <c r="B31" s="163"/>
      <c r="C31" s="163"/>
      <c r="D31" s="130"/>
      <c r="E31" s="130"/>
      <c r="F31" s="130"/>
      <c r="G31" s="130"/>
      <c r="H31" s="163"/>
      <c r="I31" s="130"/>
      <c r="J31" s="164"/>
      <c r="K31" s="164"/>
      <c r="L31" s="164"/>
      <c r="M31" s="130"/>
      <c r="N31" s="130"/>
      <c r="O31" s="130"/>
      <c r="P31" s="130"/>
      <c r="Q31" s="165"/>
      <c r="R31" s="165"/>
      <c r="S31" s="165"/>
      <c r="T31" s="165"/>
    </row>
    <row r="34" spans="1:1" x14ac:dyDescent="0.2">
      <c r="A34" s="249" t="s">
        <v>182</v>
      </c>
    </row>
  </sheetData>
  <printOptions gridLines="1"/>
  <pageMargins left="0.7" right="0.7" top="0.75" bottom="0.75" header="0.3" footer="0.3"/>
  <pageSetup paperSize="3" orientation="landscape" r:id="rId1"/>
  <headerFooter>
    <oddHeader>&amp;LSmith Engineering Company&amp;R&amp;D</oddHeader>
    <oddFooter>&amp;L&amp;"Arial Narrow,Regular"&amp;9&amp;Z&amp;F&amp;A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36"/>
  <sheetViews>
    <sheetView zoomScale="110" zoomScaleNormal="110" workbookViewId="0">
      <selection activeCell="A3" sqref="A3"/>
    </sheetView>
  </sheetViews>
  <sheetFormatPr defaultRowHeight="12.75" x14ac:dyDescent="0.2"/>
  <cols>
    <col min="1" max="1" width="20.7109375" style="65" customWidth="1"/>
    <col min="2" max="2" width="4.7109375" style="76" customWidth="1"/>
    <col min="3" max="3" width="5.5703125" style="76" customWidth="1"/>
    <col min="4" max="4" width="12" style="65" customWidth="1"/>
    <col min="5" max="5" width="10" style="65" customWidth="1"/>
    <col min="6" max="6" width="9.28515625" style="65" customWidth="1"/>
    <col min="7" max="7" width="10.42578125" style="65" customWidth="1"/>
    <col min="8" max="8" width="9.28515625" style="76" customWidth="1"/>
    <col min="9" max="9" width="9.28515625" style="65" customWidth="1"/>
    <col min="10" max="10" width="10.42578125" style="116" customWidth="1"/>
    <col min="11" max="11" width="9.28515625" style="116" customWidth="1"/>
    <col min="12" max="12" width="10.5703125" style="116" customWidth="1"/>
    <col min="13" max="13" width="9.28515625" style="65" customWidth="1"/>
    <col min="14" max="15" width="10.140625" style="65" customWidth="1"/>
    <col min="16" max="19" width="9.28515625" style="65" customWidth="1"/>
    <col min="20" max="22" width="9.28515625" style="86" customWidth="1"/>
    <col min="23" max="16384" width="9.140625" style="65"/>
  </cols>
  <sheetData>
    <row r="1" spans="1:22" ht="15.75" x14ac:dyDescent="0.2">
      <c r="B1" s="131"/>
      <c r="C1" s="131"/>
      <c r="D1" s="131"/>
      <c r="E1" s="131"/>
      <c r="F1" s="131"/>
      <c r="G1" s="131"/>
      <c r="H1" s="132"/>
      <c r="I1" s="132"/>
      <c r="J1" s="133"/>
      <c r="K1" s="133"/>
      <c r="L1" s="133"/>
      <c r="M1" s="132"/>
      <c r="N1" s="132"/>
      <c r="O1" s="132"/>
      <c r="P1" s="132"/>
      <c r="Q1" s="132"/>
      <c r="R1" s="131" t="s">
        <v>243</v>
      </c>
      <c r="S1" s="132"/>
      <c r="T1" s="134" t="s">
        <v>13</v>
      </c>
      <c r="U1" s="134" t="s">
        <v>13</v>
      </c>
      <c r="V1" s="134"/>
    </row>
    <row r="2" spans="1:22" ht="3.75" customHeight="1" x14ac:dyDescent="0.2">
      <c r="A2" s="131"/>
      <c r="B2" s="131"/>
      <c r="C2" s="131"/>
      <c r="D2" s="131"/>
      <c r="E2" s="131"/>
      <c r="F2" s="131"/>
      <c r="G2" s="131"/>
      <c r="H2" s="132"/>
      <c r="I2" s="132"/>
      <c r="J2" s="133"/>
      <c r="K2" s="133"/>
      <c r="L2" s="133"/>
      <c r="M2" s="132"/>
      <c r="N2" s="132"/>
      <c r="O2" s="132"/>
      <c r="P2" s="132"/>
      <c r="Q2" s="132"/>
      <c r="R2" s="132"/>
      <c r="S2" s="132"/>
      <c r="T2" s="134"/>
      <c r="U2" s="134"/>
      <c r="V2" s="134"/>
    </row>
    <row r="3" spans="1:22" ht="15.75" x14ac:dyDescent="0.2">
      <c r="B3" s="131"/>
      <c r="C3" s="131"/>
      <c r="D3" s="131"/>
      <c r="E3" s="131"/>
      <c r="F3" s="131"/>
      <c r="G3" s="131"/>
      <c r="H3" s="132"/>
      <c r="I3" s="132"/>
      <c r="J3" s="133"/>
      <c r="K3" s="133"/>
      <c r="L3" s="133"/>
      <c r="M3" s="131" t="s">
        <v>221</v>
      </c>
      <c r="N3" s="132"/>
      <c r="O3" s="132"/>
      <c r="P3" s="132"/>
      <c r="Q3" s="132"/>
      <c r="R3" s="132"/>
      <c r="S3" s="132"/>
      <c r="T3" s="134"/>
      <c r="U3" s="134"/>
      <c r="V3" s="134"/>
    </row>
    <row r="4" spans="1:22" ht="4.5" customHeight="1" x14ac:dyDescent="0.2">
      <c r="A4" s="131" t="s">
        <v>13</v>
      </c>
      <c r="B4" s="131"/>
      <c r="C4" s="131"/>
      <c r="D4" s="131"/>
      <c r="E4" s="131"/>
      <c r="F4" s="131"/>
      <c r="G4" s="131"/>
      <c r="H4" s="132"/>
      <c r="I4" s="132"/>
      <c r="J4" s="133"/>
      <c r="K4" s="133"/>
      <c r="L4" s="133"/>
      <c r="M4" s="132"/>
      <c r="N4" s="132"/>
      <c r="O4" s="132"/>
      <c r="P4" s="132"/>
      <c r="Q4" s="132"/>
      <c r="R4" s="132"/>
      <c r="S4" s="132"/>
      <c r="T4" s="134"/>
      <c r="U4" s="134"/>
      <c r="V4" s="134"/>
    </row>
    <row r="5" spans="1:22" ht="15.75" x14ac:dyDescent="0.2">
      <c r="A5" s="152"/>
      <c r="B5" s="153"/>
      <c r="C5" s="153"/>
      <c r="D5" s="152"/>
      <c r="E5" s="384" t="s">
        <v>225</v>
      </c>
      <c r="F5" s="378"/>
      <c r="G5" s="381"/>
      <c r="H5" s="381"/>
      <c r="I5" s="381"/>
      <c r="J5" s="385"/>
      <c r="K5" s="385"/>
      <c r="L5" s="385"/>
      <c r="M5" s="378"/>
      <c r="N5" s="386"/>
      <c r="O5" s="378"/>
      <c r="P5" s="378"/>
      <c r="Q5" s="378"/>
      <c r="R5" s="378"/>
      <c r="S5" s="378"/>
      <c r="T5" s="382"/>
      <c r="U5" s="382"/>
      <c r="V5" s="383"/>
    </row>
    <row r="6" spans="1:22" ht="94.5" customHeight="1" x14ac:dyDescent="0.2">
      <c r="A6" s="131"/>
      <c r="B6" s="138"/>
      <c r="C6" s="138"/>
      <c r="D6" s="262" t="s">
        <v>222</v>
      </c>
      <c r="E6" s="220" t="s">
        <v>152</v>
      </c>
      <c r="F6" s="236" t="s">
        <v>206</v>
      </c>
      <c r="G6" s="379" t="s">
        <v>176</v>
      </c>
      <c r="H6" s="380" t="s">
        <v>164</v>
      </c>
      <c r="I6" s="379" t="s">
        <v>165</v>
      </c>
      <c r="J6" s="220" t="s">
        <v>157</v>
      </c>
      <c r="K6" s="236" t="s">
        <v>177</v>
      </c>
      <c r="L6" s="222" t="s">
        <v>178</v>
      </c>
      <c r="M6" s="220" t="s">
        <v>166</v>
      </c>
      <c r="N6" s="222" t="s">
        <v>167</v>
      </c>
      <c r="O6" s="222" t="s">
        <v>168</v>
      </c>
      <c r="P6" s="222" t="s">
        <v>169</v>
      </c>
      <c r="Q6" s="220" t="s">
        <v>170</v>
      </c>
      <c r="R6" s="236" t="s">
        <v>209</v>
      </c>
      <c r="S6" s="225" t="s">
        <v>210</v>
      </c>
      <c r="T6" s="220" t="s">
        <v>162</v>
      </c>
      <c r="U6" s="236" t="s">
        <v>179</v>
      </c>
      <c r="V6" s="225" t="s">
        <v>180</v>
      </c>
    </row>
    <row r="7" spans="1:22" ht="67.5" customHeight="1" x14ac:dyDescent="0.2">
      <c r="A7" s="175" t="s">
        <v>160</v>
      </c>
      <c r="B7" s="70" t="s">
        <v>142</v>
      </c>
      <c r="C7" s="70" t="s">
        <v>131</v>
      </c>
      <c r="D7" s="263" t="s">
        <v>184</v>
      </c>
      <c r="E7" s="147" t="s">
        <v>143</v>
      </c>
      <c r="F7" s="87" t="s">
        <v>143</v>
      </c>
      <c r="G7" s="87" t="s">
        <v>143</v>
      </c>
      <c r="H7" s="147" t="s">
        <v>143</v>
      </c>
      <c r="I7" s="87" t="s">
        <v>134</v>
      </c>
      <c r="J7" s="147" t="s">
        <v>143</v>
      </c>
      <c r="K7" s="87" t="s">
        <v>143</v>
      </c>
      <c r="L7" s="87" t="s">
        <v>143</v>
      </c>
      <c r="M7" s="147" t="s">
        <v>143</v>
      </c>
      <c r="N7" s="87" t="s">
        <v>143</v>
      </c>
      <c r="O7" s="87" t="s">
        <v>143</v>
      </c>
      <c r="P7" s="87" t="s">
        <v>143</v>
      </c>
      <c r="Q7" s="147" t="s">
        <v>143</v>
      </c>
      <c r="R7" s="376" t="s">
        <v>143</v>
      </c>
      <c r="S7" s="166" t="s">
        <v>143</v>
      </c>
      <c r="T7" s="147" t="s">
        <v>143</v>
      </c>
      <c r="U7" s="376" t="s">
        <v>143</v>
      </c>
      <c r="V7" s="166" t="s">
        <v>143</v>
      </c>
    </row>
    <row r="8" spans="1:22" x14ac:dyDescent="0.2">
      <c r="A8" s="176"/>
      <c r="B8" s="87"/>
      <c r="C8" s="87"/>
      <c r="D8" s="264"/>
      <c r="E8" s="147" t="s">
        <v>12</v>
      </c>
      <c r="F8" s="87" t="s">
        <v>12</v>
      </c>
      <c r="G8" s="87" t="s">
        <v>12</v>
      </c>
      <c r="H8" s="147" t="s">
        <v>12</v>
      </c>
      <c r="I8" s="87" t="s">
        <v>12</v>
      </c>
      <c r="J8" s="147" t="s">
        <v>12</v>
      </c>
      <c r="K8" s="87" t="s">
        <v>12</v>
      </c>
      <c r="L8" s="87" t="s">
        <v>12</v>
      </c>
      <c r="M8" s="147" t="s">
        <v>12</v>
      </c>
      <c r="N8" s="87" t="s">
        <v>12</v>
      </c>
      <c r="O8" s="87" t="s">
        <v>12</v>
      </c>
      <c r="P8" s="87" t="s">
        <v>12</v>
      </c>
      <c r="Q8" s="147" t="s">
        <v>12</v>
      </c>
      <c r="R8" s="376" t="s">
        <v>12</v>
      </c>
      <c r="S8" s="166" t="s">
        <v>12</v>
      </c>
      <c r="T8" s="147" t="s">
        <v>12</v>
      </c>
      <c r="U8" s="376" t="s">
        <v>12</v>
      </c>
      <c r="V8" s="166" t="s">
        <v>12</v>
      </c>
    </row>
    <row r="9" spans="1:22" x14ac:dyDescent="0.2">
      <c r="A9" s="177"/>
      <c r="B9" s="74"/>
      <c r="C9" s="74"/>
      <c r="D9" s="265" t="s">
        <v>63</v>
      </c>
      <c r="E9" s="75" t="s">
        <v>136</v>
      </c>
      <c r="F9" s="74" t="s">
        <v>224</v>
      </c>
      <c r="G9" s="74" t="s">
        <v>136</v>
      </c>
      <c r="H9" s="75" t="s">
        <v>136</v>
      </c>
      <c r="I9" s="74" t="s">
        <v>136</v>
      </c>
      <c r="J9" s="75" t="s">
        <v>136</v>
      </c>
      <c r="K9" s="74" t="s">
        <v>224</v>
      </c>
      <c r="L9" s="74" t="s">
        <v>136</v>
      </c>
      <c r="M9" s="75" t="s">
        <v>136</v>
      </c>
      <c r="N9" s="74" t="s">
        <v>136</v>
      </c>
      <c r="O9" s="74" t="s">
        <v>136</v>
      </c>
      <c r="P9" s="74" t="s">
        <v>136</v>
      </c>
      <c r="Q9" s="75" t="s">
        <v>136</v>
      </c>
      <c r="R9" s="377" t="s">
        <v>224</v>
      </c>
      <c r="S9" s="79" t="s">
        <v>136</v>
      </c>
      <c r="T9" s="75" t="s">
        <v>136</v>
      </c>
      <c r="U9" s="377" t="s">
        <v>224</v>
      </c>
      <c r="V9" s="79" t="s">
        <v>136</v>
      </c>
    </row>
    <row r="10" spans="1:22" x14ac:dyDescent="0.2">
      <c r="A10" s="178" t="s">
        <v>107</v>
      </c>
      <c r="B10" s="180" t="s">
        <v>62</v>
      </c>
      <c r="C10" s="180" t="s">
        <v>12</v>
      </c>
      <c r="D10" s="266">
        <v>80</v>
      </c>
      <c r="E10" s="182">
        <v>0</v>
      </c>
      <c r="F10" s="183">
        <v>0</v>
      </c>
      <c r="G10" s="196" t="s">
        <v>117</v>
      </c>
      <c r="H10" s="182">
        <v>0</v>
      </c>
      <c r="I10" s="183">
        <v>0</v>
      </c>
      <c r="J10" s="182">
        <v>5</v>
      </c>
      <c r="K10" s="183">
        <v>0</v>
      </c>
      <c r="L10" s="196" t="s">
        <v>117</v>
      </c>
      <c r="M10" s="182">
        <v>5</v>
      </c>
      <c r="N10" s="183">
        <v>1</v>
      </c>
      <c r="O10" s="183">
        <v>0</v>
      </c>
      <c r="P10" s="183">
        <v>0</v>
      </c>
      <c r="Q10" s="182">
        <v>0</v>
      </c>
      <c r="R10" s="268">
        <v>6.938851952430003</v>
      </c>
      <c r="S10" s="226" t="s">
        <v>117</v>
      </c>
      <c r="T10" s="182">
        <v>0</v>
      </c>
      <c r="U10" s="268">
        <v>24.053814311058545</v>
      </c>
      <c r="V10" s="226" t="s">
        <v>117</v>
      </c>
    </row>
    <row r="11" spans="1:22" x14ac:dyDescent="0.2">
      <c r="A11" s="178" t="s">
        <v>108</v>
      </c>
      <c r="B11" s="180" t="s">
        <v>62</v>
      </c>
      <c r="C11" s="180" t="s">
        <v>12</v>
      </c>
      <c r="D11" s="266">
        <v>90</v>
      </c>
      <c r="E11" s="182">
        <v>0</v>
      </c>
      <c r="F11" s="183">
        <v>19.2</v>
      </c>
      <c r="G11" s="196" t="s">
        <v>117</v>
      </c>
      <c r="H11" s="182">
        <v>7</v>
      </c>
      <c r="I11" s="183">
        <v>12</v>
      </c>
      <c r="J11" s="182">
        <v>0</v>
      </c>
      <c r="K11" s="183">
        <v>0</v>
      </c>
      <c r="L11" s="196" t="s">
        <v>117</v>
      </c>
      <c r="M11" s="182">
        <v>0</v>
      </c>
      <c r="N11" s="183">
        <v>0</v>
      </c>
      <c r="O11" s="183">
        <v>5</v>
      </c>
      <c r="P11" s="183">
        <v>25</v>
      </c>
      <c r="Q11" s="182">
        <v>18</v>
      </c>
      <c r="R11" s="268">
        <v>0.88959640415769248</v>
      </c>
      <c r="S11" s="226" t="s">
        <v>117</v>
      </c>
      <c r="T11" s="182">
        <v>3</v>
      </c>
      <c r="U11" s="268">
        <v>9.6318746303962151</v>
      </c>
      <c r="V11" s="226" t="s">
        <v>117</v>
      </c>
    </row>
    <row r="12" spans="1:22" x14ac:dyDescent="0.2">
      <c r="A12" s="178" t="s">
        <v>109</v>
      </c>
      <c r="B12" s="180" t="s">
        <v>62</v>
      </c>
      <c r="C12" s="180" t="s">
        <v>12</v>
      </c>
      <c r="D12" s="266">
        <v>70</v>
      </c>
      <c r="E12" s="182">
        <v>0</v>
      </c>
      <c r="F12" s="183">
        <v>0</v>
      </c>
      <c r="G12" s="196" t="s">
        <v>117</v>
      </c>
      <c r="H12" s="182">
        <v>0</v>
      </c>
      <c r="I12" s="183">
        <v>0</v>
      </c>
      <c r="J12" s="182">
        <v>0</v>
      </c>
      <c r="K12" s="183">
        <v>0</v>
      </c>
      <c r="L12" s="196" t="s">
        <v>117</v>
      </c>
      <c r="M12" s="182">
        <v>0</v>
      </c>
      <c r="N12" s="183">
        <v>0</v>
      </c>
      <c r="O12" s="183">
        <v>0</v>
      </c>
      <c r="P12" s="183">
        <v>0</v>
      </c>
      <c r="Q12" s="182">
        <v>0</v>
      </c>
      <c r="R12" s="268">
        <v>0</v>
      </c>
      <c r="S12" s="226" t="s">
        <v>117</v>
      </c>
      <c r="T12" s="182">
        <v>0</v>
      </c>
      <c r="U12" s="268">
        <v>9.2068302779420463</v>
      </c>
      <c r="V12" s="226" t="s">
        <v>117</v>
      </c>
    </row>
    <row r="13" spans="1:22" x14ac:dyDescent="0.2">
      <c r="A13" s="178" t="s">
        <v>204</v>
      </c>
      <c r="B13" s="180" t="s">
        <v>62</v>
      </c>
      <c r="C13" s="180" t="s">
        <v>12</v>
      </c>
      <c r="D13" s="266">
        <v>57</v>
      </c>
      <c r="E13" s="182">
        <v>1</v>
      </c>
      <c r="F13" s="183">
        <v>0</v>
      </c>
      <c r="G13" s="196" t="s">
        <v>117</v>
      </c>
      <c r="H13" s="182">
        <v>50</v>
      </c>
      <c r="I13" s="183">
        <v>60</v>
      </c>
      <c r="J13" s="182">
        <v>40</v>
      </c>
      <c r="K13" s="183">
        <v>100</v>
      </c>
      <c r="L13" s="196" t="s">
        <v>117</v>
      </c>
      <c r="M13" s="182">
        <v>0</v>
      </c>
      <c r="N13" s="183">
        <v>0</v>
      </c>
      <c r="O13" s="183">
        <v>0</v>
      </c>
      <c r="P13" s="183">
        <v>0</v>
      </c>
      <c r="Q13" s="182">
        <v>0</v>
      </c>
      <c r="R13" s="268">
        <v>75.699971907481981</v>
      </c>
      <c r="S13" s="226" t="s">
        <v>117</v>
      </c>
      <c r="T13" s="182">
        <v>0</v>
      </c>
      <c r="U13" s="268">
        <v>46.437019515079839</v>
      </c>
      <c r="V13" s="226" t="s">
        <v>117</v>
      </c>
    </row>
    <row r="14" spans="1:22" x14ac:dyDescent="0.2">
      <c r="A14" s="178" t="s">
        <v>205</v>
      </c>
      <c r="B14" s="180" t="s">
        <v>62</v>
      </c>
      <c r="C14" s="180" t="s">
        <v>12</v>
      </c>
      <c r="D14" s="266">
        <v>17</v>
      </c>
      <c r="E14" s="182">
        <v>0</v>
      </c>
      <c r="F14" s="183">
        <v>80.8</v>
      </c>
      <c r="G14" s="196" t="s">
        <v>117</v>
      </c>
      <c r="H14" s="182">
        <v>0</v>
      </c>
      <c r="I14" s="183">
        <v>0</v>
      </c>
      <c r="J14" s="182">
        <v>0</v>
      </c>
      <c r="K14" s="183">
        <v>0</v>
      </c>
      <c r="L14" s="196" t="s">
        <v>117</v>
      </c>
      <c r="M14" s="182">
        <v>0</v>
      </c>
      <c r="N14" s="183">
        <v>0</v>
      </c>
      <c r="O14" s="183">
        <v>0</v>
      </c>
      <c r="P14" s="183">
        <v>0</v>
      </c>
      <c r="Q14" s="182">
        <v>0</v>
      </c>
      <c r="R14" s="268">
        <v>0</v>
      </c>
      <c r="S14" s="226" t="s">
        <v>117</v>
      </c>
      <c r="T14" s="182">
        <v>0</v>
      </c>
      <c r="U14" s="268">
        <v>0</v>
      </c>
      <c r="V14" s="226" t="s">
        <v>117</v>
      </c>
    </row>
    <row r="15" spans="1:22" x14ac:dyDescent="0.2">
      <c r="A15" s="178" t="s">
        <v>111</v>
      </c>
      <c r="B15" s="180" t="s">
        <v>62</v>
      </c>
      <c r="C15" s="180" t="s">
        <v>12</v>
      </c>
      <c r="D15" s="266">
        <v>7</v>
      </c>
      <c r="E15" s="182">
        <v>0</v>
      </c>
      <c r="F15" s="183">
        <v>0</v>
      </c>
      <c r="G15" s="196" t="s">
        <v>117</v>
      </c>
      <c r="H15" s="182">
        <v>0</v>
      </c>
      <c r="I15" s="183">
        <v>8</v>
      </c>
      <c r="J15" s="182">
        <v>3</v>
      </c>
      <c r="K15" s="183">
        <v>0</v>
      </c>
      <c r="L15" s="196" t="s">
        <v>117</v>
      </c>
      <c r="M15" s="182">
        <v>0</v>
      </c>
      <c r="N15" s="183">
        <v>0</v>
      </c>
      <c r="O15" s="183">
        <v>5</v>
      </c>
      <c r="P15" s="183">
        <v>0</v>
      </c>
      <c r="Q15" s="182">
        <v>0</v>
      </c>
      <c r="R15" s="268">
        <v>0</v>
      </c>
      <c r="S15" s="226" t="s">
        <v>117</v>
      </c>
      <c r="T15" s="182">
        <v>1</v>
      </c>
      <c r="U15" s="268">
        <v>0.95727380248373739</v>
      </c>
      <c r="V15" s="226" t="s">
        <v>117</v>
      </c>
    </row>
    <row r="16" spans="1:22" x14ac:dyDescent="0.2">
      <c r="A16" s="178" t="s">
        <v>112</v>
      </c>
      <c r="B16" s="180" t="s">
        <v>193</v>
      </c>
      <c r="C16" s="180" t="s">
        <v>12</v>
      </c>
      <c r="D16" s="266">
        <v>90</v>
      </c>
      <c r="E16" s="182">
        <v>1</v>
      </c>
      <c r="F16" s="183">
        <v>0</v>
      </c>
      <c r="G16" s="196" t="s">
        <v>117</v>
      </c>
      <c r="H16" s="182">
        <v>0</v>
      </c>
      <c r="I16" s="183">
        <v>0</v>
      </c>
      <c r="J16" s="182">
        <v>0</v>
      </c>
      <c r="K16" s="183">
        <v>0</v>
      </c>
      <c r="L16" s="196" t="s">
        <v>117</v>
      </c>
      <c r="M16" s="182">
        <v>0</v>
      </c>
      <c r="N16" s="183">
        <v>0</v>
      </c>
      <c r="O16" s="183">
        <v>0</v>
      </c>
      <c r="P16" s="183">
        <v>0</v>
      </c>
      <c r="Q16" s="182">
        <v>0</v>
      </c>
      <c r="R16" s="268">
        <v>0</v>
      </c>
      <c r="S16" s="226" t="s">
        <v>117</v>
      </c>
      <c r="T16" s="182">
        <v>1</v>
      </c>
      <c r="U16" s="268">
        <v>0.861176818450621</v>
      </c>
      <c r="V16" s="226" t="s">
        <v>117</v>
      </c>
    </row>
    <row r="17" spans="1:22" x14ac:dyDescent="0.2">
      <c r="A17" s="179" t="s">
        <v>220</v>
      </c>
      <c r="B17" s="180" t="s">
        <v>193</v>
      </c>
      <c r="C17" s="180" t="s">
        <v>12</v>
      </c>
      <c r="D17" s="267">
        <v>0</v>
      </c>
      <c r="E17" s="185">
        <v>98</v>
      </c>
      <c r="F17" s="186">
        <v>0</v>
      </c>
      <c r="G17" s="196" t="s">
        <v>117</v>
      </c>
      <c r="H17" s="185">
        <v>43</v>
      </c>
      <c r="I17" s="186">
        <v>20</v>
      </c>
      <c r="J17" s="185">
        <v>52</v>
      </c>
      <c r="K17" s="186">
        <v>0</v>
      </c>
      <c r="L17" s="196" t="s">
        <v>117</v>
      </c>
      <c r="M17" s="185">
        <v>95</v>
      </c>
      <c r="N17" s="186">
        <v>99</v>
      </c>
      <c r="O17" s="186">
        <v>90</v>
      </c>
      <c r="P17" s="186">
        <v>75</v>
      </c>
      <c r="Q17" s="185">
        <v>82</v>
      </c>
      <c r="R17" s="268">
        <v>16.47157973593033</v>
      </c>
      <c r="S17" s="226" t="s">
        <v>117</v>
      </c>
      <c r="T17" s="185">
        <v>95</v>
      </c>
      <c r="U17" s="268">
        <v>8.8520106445890008</v>
      </c>
      <c r="V17" s="226" t="s">
        <v>117</v>
      </c>
    </row>
    <row r="18" spans="1:22" x14ac:dyDescent="0.2">
      <c r="A18" s="192"/>
      <c r="B18" s="190"/>
      <c r="C18" s="191"/>
      <c r="D18" s="187" t="s">
        <v>144</v>
      </c>
      <c r="E18" s="188">
        <f>SUM(E10:E17)</f>
        <v>100</v>
      </c>
      <c r="F18" s="189">
        <f t="shared" ref="F18" si="0">SUM(F10:F17)</f>
        <v>100</v>
      </c>
      <c r="G18" s="197" t="s">
        <v>117</v>
      </c>
      <c r="H18" s="188">
        <f>SUM(H10:H17)</f>
        <v>100</v>
      </c>
      <c r="I18" s="189">
        <f t="shared" ref="I18:Q18" si="1">SUM(I10:I17)</f>
        <v>100</v>
      </c>
      <c r="J18" s="188">
        <f t="shared" ref="J18:K18" si="2">SUM(J10:J17)</f>
        <v>100</v>
      </c>
      <c r="K18" s="189">
        <f t="shared" si="2"/>
        <v>100</v>
      </c>
      <c r="L18" s="197" t="s">
        <v>117</v>
      </c>
      <c r="M18" s="188">
        <f t="shared" si="1"/>
        <v>100</v>
      </c>
      <c r="N18" s="189">
        <f t="shared" si="1"/>
        <v>100</v>
      </c>
      <c r="O18" s="189">
        <f t="shared" si="1"/>
        <v>100</v>
      </c>
      <c r="P18" s="189">
        <f t="shared" si="1"/>
        <v>100</v>
      </c>
      <c r="Q18" s="188">
        <f t="shared" si="1"/>
        <v>100</v>
      </c>
      <c r="R18" s="189">
        <f t="shared" ref="R18" si="3">SUM(R10:R17)</f>
        <v>100.00000000000001</v>
      </c>
      <c r="S18" s="227" t="s">
        <v>117</v>
      </c>
      <c r="T18" s="188">
        <f t="shared" ref="T18:U18" si="4">SUM(T10:T17)</f>
        <v>100</v>
      </c>
      <c r="U18" s="189">
        <f t="shared" si="4"/>
        <v>100</v>
      </c>
      <c r="V18" s="227" t="s">
        <v>117</v>
      </c>
    </row>
    <row r="19" spans="1:22" ht="38.25" x14ac:dyDescent="0.2">
      <c r="A19" s="324" t="s">
        <v>115</v>
      </c>
      <c r="B19" s="325" t="s">
        <v>218</v>
      </c>
      <c r="C19" s="326" t="s">
        <v>12</v>
      </c>
      <c r="D19" s="327" t="s">
        <v>135</v>
      </c>
      <c r="E19" s="360">
        <v>17</v>
      </c>
      <c r="F19" s="329">
        <f>($D$10*F10+$D$11*F11+$D$12*F12+$D$13*F13+$D$14*F14+$D$15*F15+$D$16*F16+$D$17*F17)/F18</f>
        <v>31.015999999999998</v>
      </c>
      <c r="G19" s="329">
        <f>(E19*E25+F19*F25)/G25</f>
        <v>20.423741404406965</v>
      </c>
      <c r="H19" s="328">
        <f>($D$10*H10+$D$11*H11+$D$12*H12+$D$13*H13+$D$14*H14+$D$15*H15+$D$16*H16+$D$17*H17)/H18</f>
        <v>34.799999999999997</v>
      </c>
      <c r="I19" s="329">
        <f>($D$10*I10+$D$11*I11+$D$12*I12+$D$13*I13+$D$14*I14+$D$15*I15+$D$16*I16+$D$17*I17)/I18</f>
        <v>45.56</v>
      </c>
      <c r="J19" s="328">
        <f>($D$10*J10+$D$11*J11+$D$12*J12+$D$13*J13+$D$14*J14+$D$15*J15+$D$16*J16+$D$17*J17)/J18</f>
        <v>27.01</v>
      </c>
      <c r="K19" s="329">
        <f>($D$10*K10+$D$11*K11+$D$12*K12+$D$13*K13+$D$14*K14+$D$15*K15+$D$16*K16+$D$17*K17)/K18</f>
        <v>57</v>
      </c>
      <c r="L19" s="329">
        <f>(J19*J25+K19*K25)/L25</f>
        <v>28.732344937268074</v>
      </c>
      <c r="M19" s="328">
        <f t="shared" ref="M19:R19" si="5">($D$10*M10+$D$11*M11+$D$12*M12+$D$13*M13+$D$14*M14+$D$15*M15+$D$16*M16+$D$17*M17)/M18</f>
        <v>4</v>
      </c>
      <c r="N19" s="361">
        <v>25</v>
      </c>
      <c r="O19" s="329">
        <f t="shared" si="5"/>
        <v>4.8499999999999996</v>
      </c>
      <c r="P19" s="329">
        <f t="shared" si="5"/>
        <v>22.5</v>
      </c>
      <c r="Q19" s="328">
        <f t="shared" si="5"/>
        <v>16.2</v>
      </c>
      <c r="R19" s="329">
        <f t="shared" si="5"/>
        <v>49.500702312950644</v>
      </c>
      <c r="S19" s="329">
        <f>(Q19*Q25+R19*R25)/S25</f>
        <v>24.461928234731634</v>
      </c>
      <c r="T19" s="328">
        <f>($D$10*T10+$D$11*T11+$D$12*T12+$D$13*T13+$D$14*T14+$D$15*T15+$D$16*T16+$D$17*T17)/T18</f>
        <v>3.67</v>
      </c>
      <c r="U19" s="329">
        <f>($D$10*U10+$D$11*U11+$D$12*U12+$D$13*U13+$D$14*U14+$D$15*U15+$D$16*U16+$D$17*U17)/U18</f>
        <v>61.6676892371378</v>
      </c>
      <c r="V19" s="330">
        <f>(T19*T25+U19*U25)/V25</f>
        <v>52.529929268618901</v>
      </c>
    </row>
    <row r="20" spans="1:22" x14ac:dyDescent="0.2">
      <c r="A20" s="136" t="s">
        <v>123</v>
      </c>
      <c r="B20" s="193" t="s">
        <v>148</v>
      </c>
      <c r="C20" s="140" t="s">
        <v>10</v>
      </c>
      <c r="D20" s="141" t="s">
        <v>135</v>
      </c>
      <c r="E20" s="148">
        <f>E21/640</f>
        <v>4.1515624999999998</v>
      </c>
      <c r="F20" s="140">
        <f t="shared" ref="F20:V20" si="6">F21/640</f>
        <v>4.1515624999999998</v>
      </c>
      <c r="G20" s="167">
        <f t="shared" si="6"/>
        <v>4.1515624999999998</v>
      </c>
      <c r="H20" s="140">
        <f t="shared" si="6"/>
        <v>3.3921874999999999</v>
      </c>
      <c r="I20" s="167">
        <f t="shared" si="6"/>
        <v>1.6828125</v>
      </c>
      <c r="J20" s="140">
        <f t="shared" si="6"/>
        <v>4.1671874999999998</v>
      </c>
      <c r="K20" s="140">
        <f t="shared" si="6"/>
        <v>4.1671874999999998</v>
      </c>
      <c r="L20" s="167">
        <f t="shared" si="6"/>
        <v>4.1671874999999998</v>
      </c>
      <c r="M20" s="140">
        <f t="shared" si="6"/>
        <v>1.60625</v>
      </c>
      <c r="N20" s="140">
        <f t="shared" si="6"/>
        <v>25.4453125</v>
      </c>
      <c r="O20" s="140">
        <f t="shared" si="6"/>
        <v>10.03125</v>
      </c>
      <c r="P20" s="140">
        <f t="shared" si="6"/>
        <v>10.46875</v>
      </c>
      <c r="Q20" s="148">
        <f t="shared" si="6"/>
        <v>2.8093750000000002</v>
      </c>
      <c r="R20" s="140">
        <f t="shared" si="6"/>
        <v>2.8093750000000002</v>
      </c>
      <c r="S20" s="167">
        <f t="shared" si="6"/>
        <v>2.8093750000000002</v>
      </c>
      <c r="T20" s="148">
        <f t="shared" si="6"/>
        <v>1.58125</v>
      </c>
      <c r="U20" s="140">
        <f t="shared" si="6"/>
        <v>1.58125</v>
      </c>
      <c r="V20" s="167">
        <f t="shared" si="6"/>
        <v>1.58125</v>
      </c>
    </row>
    <row r="21" spans="1:22" x14ac:dyDescent="0.2">
      <c r="A21" s="204" t="s">
        <v>123</v>
      </c>
      <c r="B21" s="205" t="s">
        <v>148</v>
      </c>
      <c r="C21" s="206" t="s">
        <v>100</v>
      </c>
      <c r="D21" s="207" t="s">
        <v>135</v>
      </c>
      <c r="E21" s="208">
        <v>2657</v>
      </c>
      <c r="F21" s="209">
        <v>2657</v>
      </c>
      <c r="G21" s="210">
        <v>2657</v>
      </c>
      <c r="H21" s="243">
        <v>2171</v>
      </c>
      <c r="I21" s="244">
        <v>1077</v>
      </c>
      <c r="J21" s="243">
        <v>2667</v>
      </c>
      <c r="K21" s="243">
        <v>2667</v>
      </c>
      <c r="L21" s="244">
        <v>2667</v>
      </c>
      <c r="M21" s="243">
        <v>1028</v>
      </c>
      <c r="N21" s="243">
        <v>16285</v>
      </c>
      <c r="O21" s="243">
        <v>6420</v>
      </c>
      <c r="P21" s="243">
        <v>6700</v>
      </c>
      <c r="Q21" s="245">
        <v>1798</v>
      </c>
      <c r="R21" s="243">
        <v>1798</v>
      </c>
      <c r="S21" s="244">
        <v>1798</v>
      </c>
      <c r="T21" s="245">
        <v>1012</v>
      </c>
      <c r="U21" s="243">
        <v>1012</v>
      </c>
      <c r="V21" s="244">
        <v>1012</v>
      </c>
    </row>
    <row r="22" spans="1:22" ht="25.5" x14ac:dyDescent="0.2">
      <c r="A22" s="334" t="s">
        <v>216</v>
      </c>
      <c r="B22" s="335" t="s">
        <v>214</v>
      </c>
      <c r="C22" s="336" t="s">
        <v>12</v>
      </c>
      <c r="D22" s="335" t="s">
        <v>135</v>
      </c>
      <c r="E22" s="356">
        <v>17</v>
      </c>
      <c r="F22" s="338">
        <f>100-F17</f>
        <v>100</v>
      </c>
      <c r="G22" s="337">
        <f>G25/G20*100</f>
        <v>22.49491908167106</v>
      </c>
      <c r="H22" s="356">
        <f>100-H17</f>
        <v>57</v>
      </c>
      <c r="I22" s="338">
        <f>100-I17</f>
        <v>80</v>
      </c>
      <c r="J22" s="356">
        <f>100-J17</f>
        <v>48</v>
      </c>
      <c r="K22" s="338">
        <f>100-K17</f>
        <v>100</v>
      </c>
      <c r="L22" s="337">
        <f>L25/L20*100</f>
        <v>50.924634420697402</v>
      </c>
      <c r="M22" s="356">
        <f t="shared" ref="M22:R22" si="7">100-M17</f>
        <v>5</v>
      </c>
      <c r="N22" s="338">
        <f t="shared" si="7"/>
        <v>1</v>
      </c>
      <c r="O22" s="338">
        <f t="shared" si="7"/>
        <v>10</v>
      </c>
      <c r="P22" s="338">
        <f t="shared" si="7"/>
        <v>25</v>
      </c>
      <c r="Q22" s="356">
        <f t="shared" si="7"/>
        <v>18</v>
      </c>
      <c r="R22" s="338">
        <f t="shared" si="7"/>
        <v>83.528420264069666</v>
      </c>
      <c r="S22" s="337">
        <f>S25/S20*100</f>
        <v>23.939376574931227</v>
      </c>
      <c r="T22" s="356">
        <f>100-T17</f>
        <v>5</v>
      </c>
      <c r="U22" s="338">
        <f>100-U17</f>
        <v>91.147989355410999</v>
      </c>
      <c r="V22" s="359">
        <f>V25/V20*100</f>
        <v>31.735178772997674</v>
      </c>
    </row>
    <row r="23" spans="1:22" x14ac:dyDescent="0.2">
      <c r="A23" s="344" t="s">
        <v>104</v>
      </c>
      <c r="B23" s="345" t="s">
        <v>15</v>
      </c>
      <c r="C23" s="346" t="s">
        <v>122</v>
      </c>
      <c r="D23" s="347" t="s">
        <v>135</v>
      </c>
      <c r="E23" s="357">
        <f>E22/100*E21*43560</f>
        <v>19675616.400000002</v>
      </c>
      <c r="F23" s="331">
        <v>6359760</v>
      </c>
      <c r="G23" s="331">
        <f>SUM(E23:F23)</f>
        <v>26035376.400000002</v>
      </c>
      <c r="H23" s="358">
        <f>H22/100*H21*43560</f>
        <v>53904193.199999988</v>
      </c>
      <c r="I23" s="332">
        <f>I22/100*I21*43560</f>
        <v>37531296</v>
      </c>
      <c r="J23" s="358">
        <f>J22/100*J21*43560</f>
        <v>55763769.599999994</v>
      </c>
      <c r="K23" s="331">
        <v>3397680</v>
      </c>
      <c r="L23" s="331">
        <f>SUM(J23:K23)</f>
        <v>59161449.599999994</v>
      </c>
      <c r="M23" s="358">
        <f>M22/100*M21*43560</f>
        <v>2238984.0000000005</v>
      </c>
      <c r="N23" s="332">
        <f>N22/100*N21*43560</f>
        <v>7093746</v>
      </c>
      <c r="O23" s="332">
        <f>O22/100*O21*43560</f>
        <v>27965520</v>
      </c>
      <c r="P23" s="332">
        <f>P22/100*P21*43560</f>
        <v>72963000</v>
      </c>
      <c r="Q23" s="358">
        <f>Q22/100*Q21*43560</f>
        <v>14097758.399999999</v>
      </c>
      <c r="R23" s="331">
        <v>4651772</v>
      </c>
      <c r="S23" s="333">
        <f>SUM(Q23:R23)</f>
        <v>18749530.399999999</v>
      </c>
      <c r="T23" s="332">
        <f>T22/100*T21*43560</f>
        <v>2204136</v>
      </c>
      <c r="U23" s="331">
        <v>11785594</v>
      </c>
      <c r="V23" s="333">
        <f>SUM(T23:U23)</f>
        <v>13989730</v>
      </c>
    </row>
    <row r="24" spans="1:22" x14ac:dyDescent="0.2">
      <c r="A24" s="136" t="s">
        <v>104</v>
      </c>
      <c r="B24" s="193" t="s">
        <v>15</v>
      </c>
      <c r="C24" s="139" t="s">
        <v>100</v>
      </c>
      <c r="D24" s="141" t="s">
        <v>135</v>
      </c>
      <c r="E24" s="149">
        <f>E23/43560</f>
        <v>451.69000000000005</v>
      </c>
      <c r="F24" s="146">
        <f t="shared" ref="F24:G24" si="8">F23/43560</f>
        <v>146</v>
      </c>
      <c r="G24" s="146">
        <f t="shared" si="8"/>
        <v>597.69000000000005</v>
      </c>
      <c r="H24" s="149">
        <f>H23/43560</f>
        <v>1237.4699999999998</v>
      </c>
      <c r="I24" s="146">
        <f t="shared" ref="I24:V24" si="9">I23/43560</f>
        <v>861.6</v>
      </c>
      <c r="J24" s="149">
        <f t="shared" si="9"/>
        <v>1280.1599999999999</v>
      </c>
      <c r="K24" s="146">
        <f t="shared" si="9"/>
        <v>78</v>
      </c>
      <c r="L24" s="146">
        <f t="shared" si="9"/>
        <v>1358.1599999999999</v>
      </c>
      <c r="M24" s="149">
        <f t="shared" si="9"/>
        <v>51.400000000000013</v>
      </c>
      <c r="N24" s="146">
        <f t="shared" si="9"/>
        <v>162.85</v>
      </c>
      <c r="O24" s="146">
        <f t="shared" si="9"/>
        <v>642</v>
      </c>
      <c r="P24" s="146">
        <f t="shared" si="9"/>
        <v>1675</v>
      </c>
      <c r="Q24" s="149">
        <f t="shared" si="9"/>
        <v>323.64</v>
      </c>
      <c r="R24" s="146">
        <f t="shared" si="9"/>
        <v>106.78999081726354</v>
      </c>
      <c r="S24" s="168">
        <f t="shared" si="9"/>
        <v>430.4299908172635</v>
      </c>
      <c r="T24" s="149">
        <f t="shared" si="9"/>
        <v>50.6</v>
      </c>
      <c r="U24" s="146">
        <f t="shared" si="9"/>
        <v>270.56000918273645</v>
      </c>
      <c r="V24" s="168">
        <f t="shared" si="9"/>
        <v>321.16000918273647</v>
      </c>
    </row>
    <row r="25" spans="1:22" x14ac:dyDescent="0.2">
      <c r="A25" s="136" t="s">
        <v>104</v>
      </c>
      <c r="B25" s="193" t="s">
        <v>15</v>
      </c>
      <c r="C25" s="139" t="s">
        <v>10</v>
      </c>
      <c r="D25" s="141" t="s">
        <v>135</v>
      </c>
      <c r="E25" s="148">
        <f>E24/640</f>
        <v>0.70576562500000006</v>
      </c>
      <c r="F25" s="140">
        <f t="shared" ref="F25:G25" si="10">F24/640</f>
        <v>0.22812499999999999</v>
      </c>
      <c r="G25" s="140">
        <f t="shared" si="10"/>
        <v>0.93389062500000009</v>
      </c>
      <c r="H25" s="148">
        <f>H24/640</f>
        <v>1.9335468749999998</v>
      </c>
      <c r="I25" s="140">
        <f t="shared" ref="I25:V25" si="11">I24/640</f>
        <v>1.3462499999999999</v>
      </c>
      <c r="J25" s="148">
        <f t="shared" si="11"/>
        <v>2.0002499999999999</v>
      </c>
      <c r="K25" s="140">
        <f t="shared" si="11"/>
        <v>0.121875</v>
      </c>
      <c r="L25" s="140">
        <f t="shared" si="11"/>
        <v>2.1221249999999996</v>
      </c>
      <c r="M25" s="148">
        <f t="shared" si="11"/>
        <v>8.0312500000000023E-2</v>
      </c>
      <c r="N25" s="140">
        <f t="shared" si="11"/>
        <v>0.254453125</v>
      </c>
      <c r="O25" s="140">
        <f t="shared" si="11"/>
        <v>1.003125</v>
      </c>
      <c r="P25" s="140">
        <f t="shared" si="11"/>
        <v>2.6171875</v>
      </c>
      <c r="Q25" s="148">
        <f t="shared" si="11"/>
        <v>0.50568749999999996</v>
      </c>
      <c r="R25" s="140">
        <f t="shared" si="11"/>
        <v>0.16685936065197429</v>
      </c>
      <c r="S25" s="167">
        <f t="shared" si="11"/>
        <v>0.67254686065197422</v>
      </c>
      <c r="T25" s="148">
        <f t="shared" si="11"/>
        <v>7.9062500000000008E-2</v>
      </c>
      <c r="U25" s="140">
        <f t="shared" si="11"/>
        <v>0.42275001434802573</v>
      </c>
      <c r="V25" s="167">
        <f t="shared" si="11"/>
        <v>0.50181251434802576</v>
      </c>
    </row>
    <row r="26" spans="1:22" ht="38.25" x14ac:dyDescent="0.2">
      <c r="A26" s="348" t="s">
        <v>215</v>
      </c>
      <c r="B26" s="355" t="s">
        <v>148</v>
      </c>
      <c r="C26" s="255" t="s">
        <v>12</v>
      </c>
      <c r="D26" s="256" t="s">
        <v>135</v>
      </c>
      <c r="E26" s="349" t="s">
        <v>135</v>
      </c>
      <c r="F26" s="350">
        <f>F25/F20*100</f>
        <v>5.4949190816710578</v>
      </c>
      <c r="G26" s="351" t="s">
        <v>135</v>
      </c>
      <c r="H26" s="352" t="s">
        <v>135</v>
      </c>
      <c r="I26" s="353" t="s">
        <v>135</v>
      </c>
      <c r="J26" s="352" t="s">
        <v>135</v>
      </c>
      <c r="K26" s="350">
        <f>K25/K20*100</f>
        <v>2.9246344206974131</v>
      </c>
      <c r="L26" s="351" t="s">
        <v>135</v>
      </c>
      <c r="M26" s="352" t="s">
        <v>135</v>
      </c>
      <c r="N26" s="353" t="s">
        <v>135</v>
      </c>
      <c r="O26" s="353" t="s">
        <v>135</v>
      </c>
      <c r="P26" s="353" t="s">
        <v>135</v>
      </c>
      <c r="Q26" s="352" t="s">
        <v>135</v>
      </c>
      <c r="R26" s="350">
        <f>R25/R20*100</f>
        <v>5.9393765749312317</v>
      </c>
      <c r="S26" s="354" t="s">
        <v>135</v>
      </c>
      <c r="T26" s="352" t="s">
        <v>135</v>
      </c>
      <c r="U26" s="350">
        <f>U25/U20*100</f>
        <v>26.735178772997674</v>
      </c>
      <c r="V26" s="354" t="s">
        <v>135</v>
      </c>
    </row>
    <row r="27" spans="1:22" hidden="1" x14ac:dyDescent="0.2">
      <c r="A27" s="137" t="s">
        <v>132</v>
      </c>
      <c r="B27" s="193" t="s">
        <v>148</v>
      </c>
      <c r="C27" s="139" t="s">
        <v>10</v>
      </c>
      <c r="D27" s="141" t="s">
        <v>135</v>
      </c>
      <c r="E27" s="148">
        <f t="shared" ref="E27:V27" si="12">E20-E25</f>
        <v>3.4457968749999996</v>
      </c>
      <c r="F27" s="140">
        <f t="shared" si="12"/>
        <v>3.9234374999999999</v>
      </c>
      <c r="G27" s="140">
        <f t="shared" si="12"/>
        <v>3.2176718749999997</v>
      </c>
      <c r="H27" s="148">
        <f t="shared" si="12"/>
        <v>1.4586406250000001</v>
      </c>
      <c r="I27" s="140">
        <f t="shared" si="12"/>
        <v>0.3365625000000001</v>
      </c>
      <c r="J27" s="148">
        <f t="shared" si="12"/>
        <v>2.1669375</v>
      </c>
      <c r="K27" s="140">
        <f t="shared" si="12"/>
        <v>4.0453124999999996</v>
      </c>
      <c r="L27" s="140">
        <f t="shared" si="12"/>
        <v>2.0450625000000002</v>
      </c>
      <c r="M27" s="148">
        <f t="shared" si="12"/>
        <v>1.5259374999999999</v>
      </c>
      <c r="N27" s="140">
        <f t="shared" si="12"/>
        <v>25.190859374999999</v>
      </c>
      <c r="O27" s="140">
        <f t="shared" si="12"/>
        <v>9.0281249999999993</v>
      </c>
      <c r="P27" s="140">
        <f t="shared" si="12"/>
        <v>7.8515625</v>
      </c>
      <c r="Q27" s="148">
        <f t="shared" si="12"/>
        <v>2.3036875000000001</v>
      </c>
      <c r="R27" s="140">
        <f t="shared" si="12"/>
        <v>2.642515639348026</v>
      </c>
      <c r="S27" s="167">
        <f t="shared" si="12"/>
        <v>2.136828139348026</v>
      </c>
      <c r="T27" s="148">
        <f t="shared" si="12"/>
        <v>1.5021875</v>
      </c>
      <c r="U27" s="140">
        <f t="shared" si="12"/>
        <v>1.1584999856519742</v>
      </c>
      <c r="V27" s="167">
        <f t="shared" si="12"/>
        <v>1.0794374856519742</v>
      </c>
    </row>
    <row r="28" spans="1:22" ht="25.5" hidden="1" x14ac:dyDescent="0.2">
      <c r="A28" s="339" t="s">
        <v>137</v>
      </c>
      <c r="B28" s="205" t="s">
        <v>148</v>
      </c>
      <c r="C28" s="340" t="s">
        <v>12</v>
      </c>
      <c r="D28" s="207"/>
      <c r="E28" s="341">
        <v>0</v>
      </c>
      <c r="F28" s="342">
        <v>0</v>
      </c>
      <c r="G28" s="342">
        <v>0</v>
      </c>
      <c r="H28" s="341">
        <v>0</v>
      </c>
      <c r="I28" s="342">
        <v>0</v>
      </c>
      <c r="J28" s="341">
        <v>0</v>
      </c>
      <c r="K28" s="342">
        <v>0</v>
      </c>
      <c r="L28" s="342">
        <v>0</v>
      </c>
      <c r="M28" s="341">
        <v>0</v>
      </c>
      <c r="N28" s="342">
        <v>0</v>
      </c>
      <c r="O28" s="342">
        <v>0</v>
      </c>
      <c r="P28" s="342">
        <v>0</v>
      </c>
      <c r="Q28" s="341">
        <v>0</v>
      </c>
      <c r="R28" s="342">
        <v>0</v>
      </c>
      <c r="S28" s="343">
        <v>0</v>
      </c>
      <c r="T28" s="341">
        <v>0</v>
      </c>
      <c r="U28" s="342">
        <v>0</v>
      </c>
      <c r="V28" s="343">
        <v>0</v>
      </c>
    </row>
    <row r="29" spans="1:22" ht="9" customHeight="1" x14ac:dyDescent="0.2">
      <c r="A29" s="130"/>
      <c r="B29" s="163"/>
      <c r="C29" s="163"/>
      <c r="D29" s="130"/>
      <c r="E29" s="130"/>
      <c r="F29" s="130"/>
      <c r="G29" s="130"/>
      <c r="H29" s="163"/>
      <c r="I29" s="130"/>
      <c r="J29" s="164"/>
      <c r="K29" s="164"/>
      <c r="L29" s="164"/>
      <c r="M29" s="130"/>
      <c r="N29" s="130"/>
      <c r="O29" s="130"/>
      <c r="P29" s="130"/>
      <c r="Q29" s="130"/>
      <c r="R29" s="130"/>
      <c r="S29" s="130"/>
      <c r="T29" s="165"/>
      <c r="U29" s="165"/>
      <c r="V29" s="165"/>
    </row>
    <row r="30" spans="1:22" x14ac:dyDescent="0.2">
      <c r="A30" s="130" t="s">
        <v>238</v>
      </c>
      <c r="B30" s="163"/>
      <c r="C30" s="163"/>
      <c r="D30" s="130"/>
      <c r="E30" s="130"/>
      <c r="F30" s="130"/>
      <c r="G30" s="130"/>
      <c r="H30" s="163"/>
      <c r="I30" s="130"/>
      <c r="J30" s="164"/>
      <c r="K30" s="164"/>
      <c r="L30" s="164"/>
      <c r="M30" s="130"/>
      <c r="N30" s="130"/>
      <c r="O30" s="130"/>
      <c r="P30" s="130"/>
      <c r="Q30" s="130"/>
      <c r="R30" s="130"/>
      <c r="S30" s="130"/>
      <c r="T30" s="165"/>
      <c r="U30" s="165"/>
      <c r="V30" s="165"/>
    </row>
    <row r="31" spans="1:22" x14ac:dyDescent="0.2">
      <c r="A31" s="130" t="s">
        <v>228</v>
      </c>
      <c r="B31" s="163"/>
      <c r="C31" s="163"/>
      <c r="D31" s="130"/>
      <c r="E31" s="130"/>
      <c r="F31" s="130"/>
      <c r="G31" s="130"/>
      <c r="H31" s="163"/>
      <c r="I31" s="130"/>
      <c r="J31" s="164"/>
      <c r="K31" s="164"/>
      <c r="L31" s="164"/>
      <c r="M31" s="130"/>
      <c r="N31" s="130"/>
      <c r="O31" s="130"/>
      <c r="P31" s="130"/>
      <c r="Q31" s="130"/>
      <c r="R31" s="130"/>
      <c r="S31" s="130"/>
      <c r="T31" s="165"/>
      <c r="U31" s="165"/>
      <c r="V31" s="165"/>
    </row>
    <row r="32" spans="1:22" x14ac:dyDescent="0.2">
      <c r="A32" s="130" t="s">
        <v>217</v>
      </c>
      <c r="B32" s="163"/>
      <c r="C32" s="163"/>
      <c r="D32" s="130"/>
      <c r="E32" s="130"/>
      <c r="F32" s="130"/>
      <c r="G32" s="130"/>
      <c r="H32" s="163"/>
      <c r="I32" s="130"/>
      <c r="J32" s="164"/>
      <c r="K32" s="164"/>
      <c r="L32" s="164"/>
      <c r="M32" s="130"/>
      <c r="N32" s="130"/>
      <c r="O32" s="130"/>
      <c r="P32" s="130"/>
      <c r="Q32" s="130"/>
      <c r="R32" s="130"/>
      <c r="S32" s="130"/>
      <c r="T32" s="165"/>
      <c r="U32" s="165"/>
      <c r="V32" s="165"/>
    </row>
    <row r="33" spans="1:22" x14ac:dyDescent="0.2">
      <c r="A33" s="130" t="s">
        <v>246</v>
      </c>
      <c r="B33" s="163"/>
      <c r="C33" s="163"/>
      <c r="D33" s="130"/>
      <c r="E33" s="130"/>
      <c r="F33" s="130"/>
      <c r="G33" s="130"/>
      <c r="H33" s="163"/>
      <c r="I33" s="130"/>
      <c r="J33" s="164"/>
      <c r="K33" s="164"/>
      <c r="L33" s="164"/>
      <c r="M33" s="130"/>
      <c r="N33" s="130"/>
      <c r="O33" s="130"/>
      <c r="P33" s="130"/>
      <c r="Q33" s="130"/>
      <c r="R33" s="130"/>
      <c r="S33" s="130"/>
      <c r="T33" s="165"/>
      <c r="U33" s="165"/>
      <c r="V33" s="165"/>
    </row>
    <row r="34" spans="1:22" x14ac:dyDescent="0.2">
      <c r="A34" s="130" t="s">
        <v>223</v>
      </c>
      <c r="B34" s="163"/>
      <c r="C34" s="163"/>
      <c r="D34" s="130"/>
      <c r="E34" s="130"/>
      <c r="F34" s="130"/>
      <c r="G34" s="130"/>
      <c r="H34" s="163"/>
      <c r="I34" s="130"/>
      <c r="J34" s="164"/>
      <c r="K34" s="164"/>
      <c r="L34" s="164"/>
      <c r="M34" s="130"/>
      <c r="N34" s="130"/>
      <c r="O34" s="130"/>
      <c r="P34" s="130"/>
      <c r="Q34" s="130"/>
      <c r="R34" s="130"/>
      <c r="S34" s="130"/>
      <c r="T34" s="165"/>
      <c r="U34" s="165"/>
      <c r="V34" s="165"/>
    </row>
    <row r="35" spans="1:22" x14ac:dyDescent="0.2">
      <c r="A35" s="130" t="s">
        <v>219</v>
      </c>
      <c r="B35" s="163"/>
      <c r="C35" s="163"/>
      <c r="D35" s="130"/>
      <c r="E35" s="130"/>
      <c r="F35" s="130"/>
      <c r="G35" s="130"/>
      <c r="H35" s="163"/>
      <c r="I35" s="130"/>
      <c r="J35" s="164"/>
      <c r="K35" s="164"/>
      <c r="L35" s="164"/>
      <c r="M35" s="130"/>
      <c r="N35" s="130"/>
      <c r="O35" s="130"/>
      <c r="P35" s="130"/>
      <c r="Q35" s="130"/>
      <c r="R35" s="130"/>
      <c r="S35" s="130"/>
      <c r="T35" s="165"/>
      <c r="U35" s="165"/>
      <c r="V35" s="165"/>
    </row>
    <row r="36" spans="1:22" x14ac:dyDescent="0.2">
      <c r="A36" s="130" t="s">
        <v>239</v>
      </c>
      <c r="B36" s="163"/>
      <c r="C36" s="163"/>
      <c r="D36" s="130"/>
      <c r="E36" s="130"/>
      <c r="F36" s="130"/>
      <c r="G36" s="130"/>
      <c r="H36" s="163"/>
      <c r="I36" s="130"/>
      <c r="J36" s="164"/>
      <c r="K36" s="164"/>
      <c r="L36" s="164"/>
      <c r="M36" s="130"/>
      <c r="N36" s="130"/>
      <c r="O36" s="130"/>
      <c r="P36" s="130"/>
      <c r="Q36" s="130"/>
      <c r="R36" s="130"/>
      <c r="S36" s="130"/>
      <c r="T36" s="165"/>
      <c r="U36" s="165"/>
      <c r="V36" s="165"/>
    </row>
  </sheetData>
  <printOptions gridLines="1"/>
  <pageMargins left="0.95" right="0.7" top="0.75" bottom="0.75" header="0.3" footer="0.3"/>
  <pageSetup paperSize="3" scale="91" orientation="landscape" r:id="rId1"/>
  <headerFooter>
    <oddHeader>&amp;LSmith Engineering Company&amp;R&amp;D</oddHeader>
    <oddFooter>&amp;L&amp;"Arial Narrow,Regular"&amp;9&amp;Z&amp;F&amp;A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35"/>
  <sheetViews>
    <sheetView zoomScale="120" zoomScaleNormal="120" workbookViewId="0">
      <selection activeCell="G26" sqref="G26"/>
    </sheetView>
  </sheetViews>
  <sheetFormatPr defaultRowHeight="12.75" x14ac:dyDescent="0.2"/>
  <cols>
    <col min="1" max="1" width="19.140625" style="65" customWidth="1"/>
    <col min="2" max="2" width="4.7109375" style="76" customWidth="1"/>
    <col min="3" max="3" width="5.5703125" style="76" customWidth="1"/>
    <col min="4" max="4" width="12" style="65" customWidth="1"/>
    <col min="5" max="5" width="10" style="65" customWidth="1"/>
    <col min="6" max="6" width="9.28515625" style="65" customWidth="1"/>
    <col min="7" max="7" width="10.42578125" style="65" customWidth="1"/>
    <col min="8" max="8" width="9.28515625" style="76" customWidth="1"/>
    <col min="9" max="9" width="9.28515625" style="65" customWidth="1"/>
    <col min="10" max="12" width="9.28515625" style="116" customWidth="1"/>
    <col min="13" max="19" width="9.28515625" style="65" customWidth="1"/>
    <col min="20" max="22" width="9.28515625" style="86" customWidth="1"/>
    <col min="23" max="16384" width="9.140625" style="65"/>
  </cols>
  <sheetData>
    <row r="1" spans="1:22" ht="15.75" x14ac:dyDescent="0.2">
      <c r="A1" s="131" t="s">
        <v>190</v>
      </c>
      <c r="B1" s="131"/>
      <c r="C1" s="131"/>
      <c r="D1" s="131"/>
      <c r="E1" s="131"/>
      <c r="F1" s="131"/>
      <c r="G1" s="131"/>
      <c r="H1" s="132"/>
      <c r="I1" s="132"/>
      <c r="J1" s="133"/>
      <c r="K1" s="133"/>
      <c r="L1" s="133"/>
      <c r="M1" s="132"/>
      <c r="N1" s="132"/>
      <c r="O1" s="132"/>
      <c r="P1" s="132"/>
      <c r="Q1" s="132"/>
      <c r="R1" s="132"/>
      <c r="S1" s="132"/>
      <c r="T1" s="237"/>
      <c r="U1" s="237"/>
      <c r="V1" s="134"/>
    </row>
    <row r="2" spans="1:22" ht="7.5" customHeight="1" x14ac:dyDescent="0.2">
      <c r="A2" s="131"/>
      <c r="B2" s="131"/>
      <c r="C2" s="131"/>
      <c r="D2" s="131"/>
      <c r="E2" s="131"/>
      <c r="F2" s="131"/>
      <c r="G2" s="131"/>
      <c r="H2" s="132"/>
      <c r="I2" s="132"/>
      <c r="J2" s="133"/>
      <c r="K2" s="133"/>
      <c r="L2" s="133"/>
      <c r="M2" s="132"/>
      <c r="N2" s="132"/>
      <c r="O2" s="132"/>
      <c r="P2" s="132"/>
      <c r="Q2" s="132"/>
      <c r="R2" s="132"/>
      <c r="S2" s="132"/>
      <c r="T2" s="134"/>
      <c r="U2" s="134"/>
      <c r="V2" s="134"/>
    </row>
    <row r="3" spans="1:22" ht="15.75" x14ac:dyDescent="0.2">
      <c r="A3" s="131" t="s">
        <v>174</v>
      </c>
      <c r="B3" s="131"/>
      <c r="C3" s="131"/>
      <c r="D3" s="131"/>
      <c r="E3" s="131"/>
      <c r="F3" s="131"/>
      <c r="G3" s="131"/>
      <c r="H3" s="132"/>
      <c r="I3" s="132"/>
      <c r="J3" s="133"/>
      <c r="K3" s="133"/>
      <c r="L3" s="133"/>
      <c r="M3" s="132"/>
      <c r="N3" s="132"/>
      <c r="O3" s="132"/>
      <c r="P3" s="132"/>
      <c r="Q3" s="132"/>
      <c r="R3" s="132"/>
      <c r="S3" s="132"/>
      <c r="T3" s="134"/>
      <c r="U3" s="134"/>
      <c r="V3" s="134"/>
    </row>
    <row r="4" spans="1:22" ht="15.75" x14ac:dyDescent="0.2">
      <c r="A4" s="152"/>
      <c r="B4" s="153"/>
      <c r="C4" s="153"/>
      <c r="D4" s="152"/>
      <c r="E4" s="216"/>
      <c r="F4" s="217"/>
      <c r="G4" s="217"/>
      <c r="H4" s="218"/>
      <c r="I4" s="213"/>
      <c r="J4" s="223"/>
      <c r="K4" s="214"/>
      <c r="L4" s="214"/>
      <c r="M4" s="213"/>
      <c r="N4" s="215" t="s">
        <v>133</v>
      </c>
      <c r="O4" s="213"/>
      <c r="P4" s="213"/>
      <c r="Q4" s="319"/>
      <c r="R4" s="319"/>
      <c r="S4" s="319"/>
      <c r="T4" s="320"/>
      <c r="U4" s="320"/>
      <c r="V4" s="321"/>
    </row>
    <row r="5" spans="1:22" ht="84" customHeight="1" x14ac:dyDescent="0.2">
      <c r="A5" s="131"/>
      <c r="B5" s="138"/>
      <c r="C5" s="138"/>
      <c r="D5" s="262" t="s">
        <v>183</v>
      </c>
      <c r="E5" s="220" t="s">
        <v>152</v>
      </c>
      <c r="F5" s="236" t="s">
        <v>206</v>
      </c>
      <c r="G5" s="222" t="s">
        <v>176</v>
      </c>
      <c r="H5" s="220" t="s">
        <v>164</v>
      </c>
      <c r="I5" s="222" t="s">
        <v>165</v>
      </c>
      <c r="J5" s="220" t="s">
        <v>157</v>
      </c>
      <c r="K5" s="236" t="s">
        <v>177</v>
      </c>
      <c r="L5" s="222" t="s">
        <v>178</v>
      </c>
      <c r="M5" s="220" t="s">
        <v>166</v>
      </c>
      <c r="N5" s="222" t="s">
        <v>167</v>
      </c>
      <c r="O5" s="222" t="s">
        <v>168</v>
      </c>
      <c r="P5" s="222" t="s">
        <v>169</v>
      </c>
      <c r="Q5" s="220" t="s">
        <v>170</v>
      </c>
      <c r="R5" s="236" t="s">
        <v>209</v>
      </c>
      <c r="S5" s="225" t="s">
        <v>210</v>
      </c>
      <c r="T5" s="220" t="s">
        <v>162</v>
      </c>
      <c r="U5" s="236" t="s">
        <v>179</v>
      </c>
      <c r="V5" s="225" t="s">
        <v>180</v>
      </c>
    </row>
    <row r="6" spans="1:22" ht="63.75" x14ac:dyDescent="0.2">
      <c r="A6" s="175" t="s">
        <v>160</v>
      </c>
      <c r="B6" s="70" t="s">
        <v>142</v>
      </c>
      <c r="C6" s="70" t="s">
        <v>131</v>
      </c>
      <c r="D6" s="263" t="s">
        <v>184</v>
      </c>
      <c r="E6" s="147" t="s">
        <v>143</v>
      </c>
      <c r="F6" s="87" t="s">
        <v>143</v>
      </c>
      <c r="G6" s="87" t="s">
        <v>143</v>
      </c>
      <c r="H6" s="147" t="s">
        <v>143</v>
      </c>
      <c r="I6" s="87" t="s">
        <v>134</v>
      </c>
      <c r="J6" s="147" t="s">
        <v>143</v>
      </c>
      <c r="K6" s="87" t="s">
        <v>143</v>
      </c>
      <c r="L6" s="87" t="s">
        <v>143</v>
      </c>
      <c r="M6" s="147" t="s">
        <v>143</v>
      </c>
      <c r="N6" s="87" t="s">
        <v>143</v>
      </c>
      <c r="O6" s="87" t="s">
        <v>143</v>
      </c>
      <c r="P6" s="87" t="s">
        <v>143</v>
      </c>
      <c r="Q6" s="147" t="s">
        <v>143</v>
      </c>
      <c r="R6" s="269" t="s">
        <v>143</v>
      </c>
      <c r="S6" s="166" t="s">
        <v>143</v>
      </c>
      <c r="T6" s="147" t="s">
        <v>143</v>
      </c>
      <c r="U6" s="269" t="s">
        <v>143</v>
      </c>
      <c r="V6" s="166" t="s">
        <v>143</v>
      </c>
    </row>
    <row r="7" spans="1:22" x14ac:dyDescent="0.2">
      <c r="A7" s="176"/>
      <c r="B7" s="87"/>
      <c r="C7" s="87"/>
      <c r="D7" s="264"/>
      <c r="E7" s="147" t="s">
        <v>12</v>
      </c>
      <c r="F7" s="87" t="s">
        <v>12</v>
      </c>
      <c r="G7" s="87" t="s">
        <v>12</v>
      </c>
      <c r="H7" s="147" t="s">
        <v>12</v>
      </c>
      <c r="I7" s="87" t="s">
        <v>12</v>
      </c>
      <c r="J7" s="147" t="s">
        <v>12</v>
      </c>
      <c r="K7" s="87" t="s">
        <v>12</v>
      </c>
      <c r="L7" s="87" t="s">
        <v>12</v>
      </c>
      <c r="M7" s="147" t="s">
        <v>12</v>
      </c>
      <c r="N7" s="87" t="s">
        <v>12</v>
      </c>
      <c r="O7" s="87" t="s">
        <v>12</v>
      </c>
      <c r="P7" s="87" t="s">
        <v>12</v>
      </c>
      <c r="Q7" s="147" t="s">
        <v>12</v>
      </c>
      <c r="R7" s="269" t="s">
        <v>12</v>
      </c>
      <c r="S7" s="166" t="s">
        <v>12</v>
      </c>
      <c r="T7" s="147" t="s">
        <v>12</v>
      </c>
      <c r="U7" s="269" t="s">
        <v>12</v>
      </c>
      <c r="V7" s="166" t="s">
        <v>12</v>
      </c>
    </row>
    <row r="8" spans="1:22" x14ac:dyDescent="0.2">
      <c r="A8" s="177"/>
      <c r="B8" s="74"/>
      <c r="C8" s="74"/>
      <c r="D8" s="265" t="s">
        <v>63</v>
      </c>
      <c r="E8" s="75" t="s">
        <v>136</v>
      </c>
      <c r="F8" s="74" t="s">
        <v>136</v>
      </c>
      <c r="G8" s="74" t="s">
        <v>136</v>
      </c>
      <c r="H8" s="75" t="s">
        <v>136</v>
      </c>
      <c r="I8" s="74" t="s">
        <v>136</v>
      </c>
      <c r="J8" s="75" t="s">
        <v>136</v>
      </c>
      <c r="K8" s="74" t="s">
        <v>136</v>
      </c>
      <c r="L8" s="74" t="s">
        <v>136</v>
      </c>
      <c r="M8" s="75" t="s">
        <v>136</v>
      </c>
      <c r="N8" s="74" t="s">
        <v>136</v>
      </c>
      <c r="O8" s="74" t="s">
        <v>136</v>
      </c>
      <c r="P8" s="74" t="s">
        <v>136</v>
      </c>
      <c r="Q8" s="75" t="s">
        <v>136</v>
      </c>
      <c r="R8" s="270" t="s">
        <v>136</v>
      </c>
      <c r="S8" s="79" t="s">
        <v>136</v>
      </c>
      <c r="T8" s="75" t="s">
        <v>136</v>
      </c>
      <c r="U8" s="270" t="s">
        <v>136</v>
      </c>
      <c r="V8" s="79" t="s">
        <v>136</v>
      </c>
    </row>
    <row r="9" spans="1:22" x14ac:dyDescent="0.2">
      <c r="A9" s="178" t="s">
        <v>107</v>
      </c>
      <c r="B9" s="180" t="s">
        <v>62</v>
      </c>
      <c r="C9" s="180" t="s">
        <v>12</v>
      </c>
      <c r="D9" s="266">
        <v>80</v>
      </c>
      <c r="E9" s="182">
        <v>0</v>
      </c>
      <c r="F9" s="183">
        <v>0</v>
      </c>
      <c r="G9" s="196" t="s">
        <v>117</v>
      </c>
      <c r="H9" s="182">
        <v>0</v>
      </c>
      <c r="I9" s="183">
        <v>0</v>
      </c>
      <c r="J9" s="182">
        <v>0</v>
      </c>
      <c r="K9" s="183">
        <v>0</v>
      </c>
      <c r="L9" s="196" t="s">
        <v>117</v>
      </c>
      <c r="M9" s="182">
        <v>0</v>
      </c>
      <c r="N9" s="183">
        <v>0</v>
      </c>
      <c r="O9" s="183">
        <v>0</v>
      </c>
      <c r="P9" s="183">
        <v>0</v>
      </c>
      <c r="Q9" s="182">
        <v>0</v>
      </c>
      <c r="R9" s="268">
        <v>6.938851952430003</v>
      </c>
      <c r="S9" s="226" t="s">
        <v>117</v>
      </c>
      <c r="T9" s="182">
        <v>0</v>
      </c>
      <c r="U9" s="268">
        <v>24.053814311058545</v>
      </c>
      <c r="V9" s="226" t="s">
        <v>117</v>
      </c>
    </row>
    <row r="10" spans="1:22" x14ac:dyDescent="0.2">
      <c r="A10" s="178" t="s">
        <v>108</v>
      </c>
      <c r="B10" s="180" t="s">
        <v>62</v>
      </c>
      <c r="C10" s="180" t="s">
        <v>12</v>
      </c>
      <c r="D10" s="266">
        <v>90</v>
      </c>
      <c r="E10" s="182">
        <v>0</v>
      </c>
      <c r="F10" s="183">
        <v>19.2</v>
      </c>
      <c r="G10" s="196" t="s">
        <v>117</v>
      </c>
      <c r="H10" s="182">
        <v>0</v>
      </c>
      <c r="I10" s="183">
        <v>0</v>
      </c>
      <c r="J10" s="182">
        <v>0</v>
      </c>
      <c r="K10" s="183">
        <v>0</v>
      </c>
      <c r="L10" s="196" t="s">
        <v>117</v>
      </c>
      <c r="M10" s="182">
        <v>0</v>
      </c>
      <c r="N10" s="183">
        <v>0</v>
      </c>
      <c r="O10" s="183">
        <v>0</v>
      </c>
      <c r="P10" s="183">
        <v>25</v>
      </c>
      <c r="Q10" s="182">
        <v>18</v>
      </c>
      <c r="R10" s="268">
        <v>0.88959640415769248</v>
      </c>
      <c r="S10" s="226" t="s">
        <v>117</v>
      </c>
      <c r="T10" s="182">
        <v>3</v>
      </c>
      <c r="U10" s="268">
        <v>9.6318746303962151</v>
      </c>
      <c r="V10" s="226" t="s">
        <v>117</v>
      </c>
    </row>
    <row r="11" spans="1:22" x14ac:dyDescent="0.2">
      <c r="A11" s="178" t="s">
        <v>109</v>
      </c>
      <c r="B11" s="180" t="s">
        <v>62</v>
      </c>
      <c r="C11" s="180" t="s">
        <v>12</v>
      </c>
      <c r="D11" s="266">
        <v>70</v>
      </c>
      <c r="E11" s="182">
        <v>0</v>
      </c>
      <c r="F11" s="183">
        <v>0</v>
      </c>
      <c r="G11" s="196" t="s">
        <v>117</v>
      </c>
      <c r="H11" s="182">
        <v>0</v>
      </c>
      <c r="I11" s="183">
        <v>0</v>
      </c>
      <c r="J11" s="182">
        <v>0</v>
      </c>
      <c r="K11" s="183">
        <v>0</v>
      </c>
      <c r="L11" s="196" t="s">
        <v>117</v>
      </c>
      <c r="M11" s="182">
        <v>0</v>
      </c>
      <c r="N11" s="183">
        <v>0</v>
      </c>
      <c r="O11" s="183">
        <v>0</v>
      </c>
      <c r="P11" s="183">
        <v>0</v>
      </c>
      <c r="Q11" s="182">
        <v>0</v>
      </c>
      <c r="R11" s="268">
        <v>0</v>
      </c>
      <c r="S11" s="226" t="s">
        <v>117</v>
      </c>
      <c r="T11" s="182">
        <v>0</v>
      </c>
      <c r="U11" s="268">
        <v>9.2068302779420463</v>
      </c>
      <c r="V11" s="226" t="s">
        <v>117</v>
      </c>
    </row>
    <row r="12" spans="1:22" x14ac:dyDescent="0.2">
      <c r="A12" s="178" t="s">
        <v>204</v>
      </c>
      <c r="B12" s="180" t="s">
        <v>62</v>
      </c>
      <c r="C12" s="180" t="s">
        <v>12</v>
      </c>
      <c r="D12" s="266">
        <v>57</v>
      </c>
      <c r="E12" s="182">
        <v>1</v>
      </c>
      <c r="F12" s="183">
        <v>0</v>
      </c>
      <c r="G12" s="196" t="s">
        <v>117</v>
      </c>
      <c r="H12" s="182">
        <v>70</v>
      </c>
      <c r="I12" s="183">
        <v>70</v>
      </c>
      <c r="J12" s="182">
        <v>70</v>
      </c>
      <c r="K12" s="183">
        <v>100</v>
      </c>
      <c r="L12" s="196" t="s">
        <v>117</v>
      </c>
      <c r="M12" s="182">
        <v>70</v>
      </c>
      <c r="N12" s="183">
        <v>70</v>
      </c>
      <c r="O12" s="183">
        <v>70</v>
      </c>
      <c r="P12" s="183">
        <v>0</v>
      </c>
      <c r="Q12" s="182">
        <v>0</v>
      </c>
      <c r="R12" s="268">
        <v>75.699971907481981</v>
      </c>
      <c r="S12" s="226" t="s">
        <v>117</v>
      </c>
      <c r="T12" s="182">
        <v>0</v>
      </c>
      <c r="U12" s="268">
        <v>46.437019515079839</v>
      </c>
      <c r="V12" s="226" t="s">
        <v>117</v>
      </c>
    </row>
    <row r="13" spans="1:22" x14ac:dyDescent="0.2">
      <c r="A13" s="178" t="s">
        <v>205</v>
      </c>
      <c r="B13" s="180" t="s">
        <v>62</v>
      </c>
      <c r="C13" s="180" t="s">
        <v>12</v>
      </c>
      <c r="D13" s="266">
        <v>17</v>
      </c>
      <c r="E13" s="182">
        <v>0</v>
      </c>
      <c r="F13" s="183">
        <v>80.8</v>
      </c>
      <c r="G13" s="196" t="s">
        <v>117</v>
      </c>
      <c r="H13" s="182">
        <v>0</v>
      </c>
      <c r="I13" s="183">
        <v>0</v>
      </c>
      <c r="J13" s="182">
        <v>0</v>
      </c>
      <c r="K13" s="183">
        <v>0</v>
      </c>
      <c r="L13" s="196" t="s">
        <v>117</v>
      </c>
      <c r="M13" s="182">
        <v>0</v>
      </c>
      <c r="N13" s="183">
        <v>0</v>
      </c>
      <c r="O13" s="183">
        <v>0</v>
      </c>
      <c r="P13" s="183">
        <v>0</v>
      </c>
      <c r="Q13" s="182">
        <v>0</v>
      </c>
      <c r="R13" s="268">
        <v>0</v>
      </c>
      <c r="S13" s="226" t="s">
        <v>117</v>
      </c>
      <c r="T13" s="182">
        <v>0</v>
      </c>
      <c r="U13" s="268">
        <v>0</v>
      </c>
      <c r="V13" s="226" t="s">
        <v>117</v>
      </c>
    </row>
    <row r="14" spans="1:22" x14ac:dyDescent="0.2">
      <c r="A14" s="178" t="s">
        <v>111</v>
      </c>
      <c r="B14" s="180" t="s">
        <v>62</v>
      </c>
      <c r="C14" s="180" t="s">
        <v>12</v>
      </c>
      <c r="D14" s="266">
        <v>7</v>
      </c>
      <c r="E14" s="182">
        <v>0</v>
      </c>
      <c r="F14" s="183">
        <v>0</v>
      </c>
      <c r="G14" s="196" t="s">
        <v>117</v>
      </c>
      <c r="H14" s="182">
        <v>10</v>
      </c>
      <c r="I14" s="183">
        <v>10</v>
      </c>
      <c r="J14" s="182">
        <v>10</v>
      </c>
      <c r="K14" s="183">
        <v>0</v>
      </c>
      <c r="L14" s="196" t="s">
        <v>117</v>
      </c>
      <c r="M14" s="182">
        <v>10</v>
      </c>
      <c r="N14" s="183">
        <v>10</v>
      </c>
      <c r="O14" s="183">
        <v>10</v>
      </c>
      <c r="P14" s="183">
        <v>0</v>
      </c>
      <c r="Q14" s="182">
        <v>0</v>
      </c>
      <c r="R14" s="268">
        <v>0</v>
      </c>
      <c r="S14" s="226" t="s">
        <v>117</v>
      </c>
      <c r="T14" s="182">
        <v>1</v>
      </c>
      <c r="U14" s="268">
        <v>0.95727380248373739</v>
      </c>
      <c r="V14" s="226" t="s">
        <v>117</v>
      </c>
    </row>
    <row r="15" spans="1:22" x14ac:dyDescent="0.2">
      <c r="A15" s="178" t="s">
        <v>112</v>
      </c>
      <c r="B15" s="180" t="s">
        <v>193</v>
      </c>
      <c r="C15" s="180" t="s">
        <v>12</v>
      </c>
      <c r="D15" s="266">
        <v>90</v>
      </c>
      <c r="E15" s="182">
        <v>1</v>
      </c>
      <c r="F15" s="183">
        <v>0</v>
      </c>
      <c r="G15" s="196" t="s">
        <v>117</v>
      </c>
      <c r="H15" s="182">
        <v>10</v>
      </c>
      <c r="I15" s="183">
        <v>10</v>
      </c>
      <c r="J15" s="182">
        <v>10</v>
      </c>
      <c r="K15" s="183">
        <v>0</v>
      </c>
      <c r="L15" s="196" t="s">
        <v>117</v>
      </c>
      <c r="M15" s="182">
        <v>10</v>
      </c>
      <c r="N15" s="183">
        <v>10</v>
      </c>
      <c r="O15" s="183">
        <v>10</v>
      </c>
      <c r="P15" s="183">
        <v>0</v>
      </c>
      <c r="Q15" s="182">
        <v>0</v>
      </c>
      <c r="R15" s="268">
        <v>0</v>
      </c>
      <c r="S15" s="226" t="s">
        <v>117</v>
      </c>
      <c r="T15" s="182">
        <v>1</v>
      </c>
      <c r="U15" s="268">
        <v>0.861176818450621</v>
      </c>
      <c r="V15" s="226" t="s">
        <v>117</v>
      </c>
    </row>
    <row r="16" spans="1:22" x14ac:dyDescent="0.2">
      <c r="A16" s="179" t="s">
        <v>113</v>
      </c>
      <c r="B16" s="180" t="s">
        <v>193</v>
      </c>
      <c r="C16" s="180" t="s">
        <v>12</v>
      </c>
      <c r="D16" s="267">
        <v>0</v>
      </c>
      <c r="E16" s="185">
        <v>98</v>
      </c>
      <c r="F16" s="186">
        <v>0</v>
      </c>
      <c r="G16" s="196" t="s">
        <v>117</v>
      </c>
      <c r="H16" s="185">
        <v>10</v>
      </c>
      <c r="I16" s="186">
        <v>10</v>
      </c>
      <c r="J16" s="185">
        <v>10</v>
      </c>
      <c r="K16" s="186">
        <v>0</v>
      </c>
      <c r="L16" s="196" t="s">
        <v>117</v>
      </c>
      <c r="M16" s="185">
        <v>10</v>
      </c>
      <c r="N16" s="186">
        <v>10</v>
      </c>
      <c r="O16" s="186">
        <v>10</v>
      </c>
      <c r="P16" s="186">
        <v>75</v>
      </c>
      <c r="Q16" s="185">
        <v>82</v>
      </c>
      <c r="R16" s="268">
        <v>16.47157973593033</v>
      </c>
      <c r="S16" s="226" t="s">
        <v>117</v>
      </c>
      <c r="T16" s="185">
        <v>95</v>
      </c>
      <c r="U16" s="268">
        <v>8.8520106445890008</v>
      </c>
      <c r="V16" s="226" t="s">
        <v>117</v>
      </c>
    </row>
    <row r="17" spans="1:22" x14ac:dyDescent="0.2">
      <c r="A17" s="192"/>
      <c r="B17" s="190"/>
      <c r="C17" s="191"/>
      <c r="D17" s="187" t="s">
        <v>144</v>
      </c>
      <c r="E17" s="239">
        <f>SUM(E9:E16)</f>
        <v>100</v>
      </c>
      <c r="F17" s="240">
        <f t="shared" ref="F17" si="0">SUM(F9:F16)</f>
        <v>100</v>
      </c>
      <c r="G17" s="241" t="s">
        <v>117</v>
      </c>
      <c r="H17" s="239">
        <f>SUM(H9:H16)</f>
        <v>100</v>
      </c>
      <c r="I17" s="240">
        <f t="shared" ref="I17:P17" si="1">SUM(I9:I16)</f>
        <v>100</v>
      </c>
      <c r="J17" s="239">
        <f t="shared" ref="J17:K17" si="2">SUM(J9:J16)</f>
        <v>100</v>
      </c>
      <c r="K17" s="240">
        <f t="shared" si="2"/>
        <v>100</v>
      </c>
      <c r="L17" s="241" t="s">
        <v>117</v>
      </c>
      <c r="M17" s="239">
        <f t="shared" si="1"/>
        <v>100</v>
      </c>
      <c r="N17" s="240">
        <f t="shared" si="1"/>
        <v>100</v>
      </c>
      <c r="O17" s="240">
        <f t="shared" si="1"/>
        <v>100</v>
      </c>
      <c r="P17" s="240">
        <f t="shared" si="1"/>
        <v>100</v>
      </c>
      <c r="Q17" s="239">
        <f t="shared" ref="Q17" si="3">SUM(Q9:Q16)</f>
        <v>100</v>
      </c>
      <c r="R17" s="240">
        <f t="shared" ref="R17" si="4">SUM(R9:R16)</f>
        <v>100.00000000000001</v>
      </c>
      <c r="S17" s="242" t="s">
        <v>117</v>
      </c>
      <c r="T17" s="239">
        <f t="shared" ref="T17:U17" si="5">SUM(T9:T16)</f>
        <v>100</v>
      </c>
      <c r="U17" s="240">
        <f t="shared" si="5"/>
        <v>100</v>
      </c>
      <c r="V17" s="242" t="s">
        <v>117</v>
      </c>
    </row>
    <row r="18" spans="1:22" x14ac:dyDescent="0.2">
      <c r="A18" s="136" t="s">
        <v>123</v>
      </c>
      <c r="B18" s="193" t="s">
        <v>148</v>
      </c>
      <c r="C18" s="140" t="s">
        <v>10</v>
      </c>
      <c r="D18" s="141" t="s">
        <v>135</v>
      </c>
      <c r="E18" s="148">
        <f>E19/640</f>
        <v>4.1515624999999998</v>
      </c>
      <c r="F18" s="140">
        <f t="shared" ref="F18:V18" si="6">F19/640</f>
        <v>4.1515624999999998</v>
      </c>
      <c r="G18" s="167">
        <f t="shared" si="6"/>
        <v>4.1515624999999998</v>
      </c>
      <c r="H18" s="140">
        <f t="shared" si="6"/>
        <v>3.3921874999999999</v>
      </c>
      <c r="I18" s="167">
        <f t="shared" si="6"/>
        <v>1.6828125</v>
      </c>
      <c r="J18" s="140">
        <f t="shared" si="6"/>
        <v>4.1671874999999998</v>
      </c>
      <c r="K18" s="140">
        <f t="shared" si="6"/>
        <v>4.1671874999999998</v>
      </c>
      <c r="L18" s="167">
        <f t="shared" si="6"/>
        <v>4.1671874999999998</v>
      </c>
      <c r="M18" s="140">
        <f t="shared" si="6"/>
        <v>1.60625</v>
      </c>
      <c r="N18" s="140">
        <f t="shared" si="6"/>
        <v>25.4453125</v>
      </c>
      <c r="O18" s="140">
        <f t="shared" si="6"/>
        <v>10.03125</v>
      </c>
      <c r="P18" s="140">
        <f t="shared" si="6"/>
        <v>10.46875</v>
      </c>
      <c r="Q18" s="148">
        <f t="shared" si="6"/>
        <v>2.8093750000000002</v>
      </c>
      <c r="R18" s="140">
        <f t="shared" ref="R18" si="7">R19/640</f>
        <v>2.8093750000000002</v>
      </c>
      <c r="S18" s="167">
        <f t="shared" ref="S18" si="8">S19/640</f>
        <v>2.8093750000000002</v>
      </c>
      <c r="T18" s="148">
        <f t="shared" si="6"/>
        <v>1.58125</v>
      </c>
      <c r="U18" s="140">
        <f t="shared" si="6"/>
        <v>1.58125</v>
      </c>
      <c r="V18" s="167">
        <f t="shared" si="6"/>
        <v>1.58125</v>
      </c>
    </row>
    <row r="19" spans="1:22" x14ac:dyDescent="0.2">
      <c r="A19" s="204" t="s">
        <v>123</v>
      </c>
      <c r="B19" s="205" t="s">
        <v>148</v>
      </c>
      <c r="C19" s="206" t="s">
        <v>100</v>
      </c>
      <c r="D19" s="207" t="s">
        <v>135</v>
      </c>
      <c r="E19" s="208">
        <v>2657</v>
      </c>
      <c r="F19" s="209">
        <v>2657</v>
      </c>
      <c r="G19" s="210">
        <v>2657</v>
      </c>
      <c r="H19" s="243">
        <v>2171</v>
      </c>
      <c r="I19" s="244">
        <v>1077</v>
      </c>
      <c r="J19" s="243">
        <v>2667</v>
      </c>
      <c r="K19" s="243">
        <v>2667</v>
      </c>
      <c r="L19" s="244">
        <v>2667</v>
      </c>
      <c r="M19" s="243">
        <v>1028</v>
      </c>
      <c r="N19" s="243">
        <v>16285</v>
      </c>
      <c r="O19" s="243">
        <v>6420</v>
      </c>
      <c r="P19" s="243">
        <v>6700</v>
      </c>
      <c r="Q19" s="245">
        <v>1798</v>
      </c>
      <c r="R19" s="243">
        <v>1798</v>
      </c>
      <c r="S19" s="244">
        <v>1798</v>
      </c>
      <c r="T19" s="245">
        <v>1012</v>
      </c>
      <c r="U19" s="243">
        <v>1012</v>
      </c>
      <c r="V19" s="244">
        <v>1012</v>
      </c>
    </row>
    <row r="20" spans="1:22" x14ac:dyDescent="0.2">
      <c r="A20" s="246" t="s">
        <v>104</v>
      </c>
      <c r="B20" s="247" t="s">
        <v>15</v>
      </c>
      <c r="C20" s="248" t="s">
        <v>122</v>
      </c>
      <c r="D20" s="250" t="s">
        <v>135</v>
      </c>
      <c r="E20" s="251">
        <v>19700000</v>
      </c>
      <c r="F20" s="252">
        <v>6359760</v>
      </c>
      <c r="G20" s="252">
        <f>SUM(E20:F20)</f>
        <v>26059760</v>
      </c>
      <c r="H20" s="251">
        <v>55000000</v>
      </c>
      <c r="I20" s="252">
        <v>1000000</v>
      </c>
      <c r="J20" s="251">
        <v>55000000</v>
      </c>
      <c r="K20" s="252">
        <v>3397680</v>
      </c>
      <c r="L20" s="252">
        <f>SUM(J20:K20)</f>
        <v>58397680</v>
      </c>
      <c r="M20" s="251">
        <v>1000000</v>
      </c>
      <c r="N20" s="252">
        <v>100000</v>
      </c>
      <c r="O20" s="252">
        <v>1000000</v>
      </c>
      <c r="P20" s="252">
        <f>P34</f>
        <v>72963000</v>
      </c>
      <c r="Q20" s="251">
        <f>Q34</f>
        <v>14097758.399999999</v>
      </c>
      <c r="R20" s="252">
        <v>4651772</v>
      </c>
      <c r="S20" s="253">
        <f>SUM(Q20:R20)</f>
        <v>18749530.399999999</v>
      </c>
      <c r="T20" s="251">
        <f>T34</f>
        <v>2204136</v>
      </c>
      <c r="U20" s="252">
        <v>11785594</v>
      </c>
      <c r="V20" s="253">
        <f>SUM(T20:U20)</f>
        <v>13989730</v>
      </c>
    </row>
    <row r="21" spans="1:22" x14ac:dyDescent="0.2">
      <c r="A21" s="136" t="s">
        <v>104</v>
      </c>
      <c r="B21" s="193" t="s">
        <v>15</v>
      </c>
      <c r="C21" s="139" t="s">
        <v>100</v>
      </c>
      <c r="D21" s="141" t="s">
        <v>135</v>
      </c>
      <c r="E21" s="149">
        <f>E20/43560</f>
        <v>452.24977043158862</v>
      </c>
      <c r="F21" s="146">
        <f t="shared" ref="F21:G21" si="9">F20/43560</f>
        <v>146</v>
      </c>
      <c r="G21" s="146">
        <f t="shared" si="9"/>
        <v>598.24977043158856</v>
      </c>
      <c r="H21" s="149">
        <f>H20/43560</f>
        <v>1262.6262626262626</v>
      </c>
      <c r="I21" s="146">
        <f t="shared" ref="I21:V21" si="10">I20/43560</f>
        <v>22.956841138659321</v>
      </c>
      <c r="J21" s="149">
        <f t="shared" si="10"/>
        <v>1262.6262626262626</v>
      </c>
      <c r="K21" s="146">
        <f t="shared" si="10"/>
        <v>78</v>
      </c>
      <c r="L21" s="146">
        <f t="shared" si="10"/>
        <v>1340.6262626262626</v>
      </c>
      <c r="M21" s="149">
        <f t="shared" si="10"/>
        <v>22.956841138659321</v>
      </c>
      <c r="N21" s="146">
        <f t="shared" si="10"/>
        <v>2.2956841138659319</v>
      </c>
      <c r="O21" s="146">
        <f t="shared" si="10"/>
        <v>22.956841138659321</v>
      </c>
      <c r="P21" s="146">
        <f t="shared" si="10"/>
        <v>1675</v>
      </c>
      <c r="Q21" s="149">
        <f t="shared" ref="Q21:S21" si="11">Q20/43560</f>
        <v>323.64</v>
      </c>
      <c r="R21" s="146">
        <f t="shared" si="11"/>
        <v>106.78999081726354</v>
      </c>
      <c r="S21" s="168">
        <f t="shared" si="11"/>
        <v>430.4299908172635</v>
      </c>
      <c r="T21" s="149">
        <f t="shared" si="10"/>
        <v>50.6</v>
      </c>
      <c r="U21" s="146">
        <f t="shared" si="10"/>
        <v>270.56000918273645</v>
      </c>
      <c r="V21" s="168">
        <f t="shared" si="10"/>
        <v>321.16000918273647</v>
      </c>
    </row>
    <row r="22" spans="1:22" x14ac:dyDescent="0.2">
      <c r="A22" s="136" t="s">
        <v>104</v>
      </c>
      <c r="B22" s="193" t="s">
        <v>15</v>
      </c>
      <c r="C22" s="139" t="s">
        <v>10</v>
      </c>
      <c r="D22" s="141" t="s">
        <v>135</v>
      </c>
      <c r="E22" s="148">
        <f>E21/640</f>
        <v>0.70664026629935717</v>
      </c>
      <c r="F22" s="140">
        <f t="shared" ref="F22:G22" si="12">F21/640</f>
        <v>0.22812499999999999</v>
      </c>
      <c r="G22" s="140">
        <f t="shared" si="12"/>
        <v>0.93476526629935708</v>
      </c>
      <c r="H22" s="148">
        <f>H21/640</f>
        <v>1.9728535353535352</v>
      </c>
      <c r="I22" s="140">
        <f t="shared" ref="I22:V22" si="13">I21/640</f>
        <v>3.5870064279155192E-2</v>
      </c>
      <c r="J22" s="148">
        <f t="shared" si="13"/>
        <v>1.9728535353535352</v>
      </c>
      <c r="K22" s="140">
        <f t="shared" si="13"/>
        <v>0.121875</v>
      </c>
      <c r="L22" s="140">
        <f t="shared" si="13"/>
        <v>2.0947285353535352</v>
      </c>
      <c r="M22" s="148">
        <f t="shared" si="13"/>
        <v>3.5870064279155192E-2</v>
      </c>
      <c r="N22" s="140">
        <f t="shared" si="13"/>
        <v>3.5870064279155183E-3</v>
      </c>
      <c r="O22" s="140">
        <f t="shared" si="13"/>
        <v>3.5870064279155192E-2</v>
      </c>
      <c r="P22" s="140">
        <f t="shared" si="13"/>
        <v>2.6171875</v>
      </c>
      <c r="Q22" s="148">
        <f t="shared" ref="Q22:S22" si="14">Q21/640</f>
        <v>0.50568749999999996</v>
      </c>
      <c r="R22" s="140">
        <f t="shared" si="14"/>
        <v>0.16685936065197429</v>
      </c>
      <c r="S22" s="167">
        <f t="shared" si="14"/>
        <v>0.67254686065197422</v>
      </c>
      <c r="T22" s="148">
        <f t="shared" si="13"/>
        <v>7.9062500000000008E-2</v>
      </c>
      <c r="U22" s="140">
        <f t="shared" si="13"/>
        <v>0.42275001434802573</v>
      </c>
      <c r="V22" s="167">
        <f t="shared" si="13"/>
        <v>0.50181251434802576</v>
      </c>
    </row>
    <row r="23" spans="1:22" x14ac:dyDescent="0.2">
      <c r="A23" s="254" t="s">
        <v>104</v>
      </c>
      <c r="B23" s="255" t="s">
        <v>15</v>
      </c>
      <c r="C23" s="255" t="s">
        <v>12</v>
      </c>
      <c r="D23" s="256" t="s">
        <v>135</v>
      </c>
      <c r="E23" s="257">
        <f>E22/E18*100</f>
        <v>17.021067761821172</v>
      </c>
      <c r="F23" s="258">
        <f t="shared" ref="F23:G23" si="15">F22/F18*100</f>
        <v>5.4949190816710578</v>
      </c>
      <c r="G23" s="258">
        <f t="shared" si="15"/>
        <v>22.515986843492229</v>
      </c>
      <c r="H23" s="259">
        <f>H22/H18*100</f>
        <v>58.158740793471331</v>
      </c>
      <c r="I23" s="260">
        <f t="shared" ref="I23:V23" si="16">I22/I18*100</f>
        <v>2.1315544232738457</v>
      </c>
      <c r="J23" s="259">
        <f t="shared" si="16"/>
        <v>47.3425670276064</v>
      </c>
      <c r="K23" s="258">
        <f t="shared" si="16"/>
        <v>2.9246344206974131</v>
      </c>
      <c r="L23" s="258">
        <f t="shared" si="16"/>
        <v>50.267201448303808</v>
      </c>
      <c r="M23" s="259">
        <f t="shared" si="16"/>
        <v>2.233155752787872</v>
      </c>
      <c r="N23" s="260">
        <f t="shared" si="16"/>
        <v>1.409692424848592E-2</v>
      </c>
      <c r="O23" s="260">
        <f t="shared" si="16"/>
        <v>0.35758319530621996</v>
      </c>
      <c r="P23" s="260">
        <f t="shared" si="16"/>
        <v>25</v>
      </c>
      <c r="Q23" s="259">
        <f t="shared" ref="Q23:S23" si="17">Q22/Q18*100</f>
        <v>17.999999999999996</v>
      </c>
      <c r="R23" s="258">
        <f t="shared" si="17"/>
        <v>5.9393765749312317</v>
      </c>
      <c r="S23" s="261">
        <f t="shared" si="17"/>
        <v>23.939376574931227</v>
      </c>
      <c r="T23" s="259">
        <f t="shared" si="16"/>
        <v>5</v>
      </c>
      <c r="U23" s="258">
        <f t="shared" si="16"/>
        <v>26.735178772997674</v>
      </c>
      <c r="V23" s="261">
        <f t="shared" si="16"/>
        <v>31.735178772997674</v>
      </c>
    </row>
    <row r="24" spans="1:22" x14ac:dyDescent="0.2">
      <c r="A24" s="137" t="s">
        <v>132</v>
      </c>
      <c r="B24" s="193" t="s">
        <v>148</v>
      </c>
      <c r="C24" s="139" t="s">
        <v>10</v>
      </c>
      <c r="D24" s="141" t="s">
        <v>135</v>
      </c>
      <c r="E24" s="148">
        <f>E18-E22</f>
        <v>3.4449222337006429</v>
      </c>
      <c r="F24" s="140">
        <f t="shared" ref="F24:G24" si="18">F18-F22</f>
        <v>3.9234374999999999</v>
      </c>
      <c r="G24" s="140">
        <f t="shared" si="18"/>
        <v>3.2167972337006425</v>
      </c>
      <c r="H24" s="148">
        <f>H18-H22</f>
        <v>1.4193339646464647</v>
      </c>
      <c r="I24" s="140">
        <f t="shared" ref="I24:V24" si="19">I18-I22</f>
        <v>1.6469424357208449</v>
      </c>
      <c r="J24" s="148">
        <f t="shared" si="19"/>
        <v>2.1943339646464644</v>
      </c>
      <c r="K24" s="140">
        <f t="shared" si="19"/>
        <v>4.0453124999999996</v>
      </c>
      <c r="L24" s="140">
        <f t="shared" si="19"/>
        <v>2.0724589646464646</v>
      </c>
      <c r="M24" s="148">
        <f t="shared" si="19"/>
        <v>1.5703799357208448</v>
      </c>
      <c r="N24" s="140">
        <f t="shared" si="19"/>
        <v>25.441725493572086</v>
      </c>
      <c r="O24" s="140">
        <f t="shared" si="19"/>
        <v>9.9953799357208446</v>
      </c>
      <c r="P24" s="140">
        <f t="shared" si="19"/>
        <v>7.8515625</v>
      </c>
      <c r="Q24" s="148">
        <f t="shared" ref="Q24:S24" si="20">Q18-Q22</f>
        <v>2.3036875000000001</v>
      </c>
      <c r="R24" s="140">
        <f t="shared" si="20"/>
        <v>2.642515639348026</v>
      </c>
      <c r="S24" s="167">
        <f t="shared" si="20"/>
        <v>2.136828139348026</v>
      </c>
      <c r="T24" s="148">
        <f t="shared" si="19"/>
        <v>1.5021875</v>
      </c>
      <c r="U24" s="140">
        <f t="shared" si="19"/>
        <v>1.1584999856519742</v>
      </c>
      <c r="V24" s="167">
        <f t="shared" si="19"/>
        <v>1.0794374856519742</v>
      </c>
    </row>
    <row r="25" spans="1:22" ht="25.5" x14ac:dyDescent="0.2">
      <c r="A25" s="137" t="s">
        <v>137</v>
      </c>
      <c r="B25" s="193" t="s">
        <v>148</v>
      </c>
      <c r="C25" s="139" t="s">
        <v>12</v>
      </c>
      <c r="D25" s="141"/>
      <c r="E25" s="150">
        <v>0</v>
      </c>
      <c r="F25" s="145">
        <v>0</v>
      </c>
      <c r="G25" s="145">
        <v>0</v>
      </c>
      <c r="H25" s="150">
        <v>0</v>
      </c>
      <c r="I25" s="145">
        <v>0</v>
      </c>
      <c r="J25" s="150">
        <v>0</v>
      </c>
      <c r="K25" s="145">
        <v>0</v>
      </c>
      <c r="L25" s="145">
        <v>0</v>
      </c>
      <c r="M25" s="150">
        <v>0</v>
      </c>
      <c r="N25" s="145">
        <v>0</v>
      </c>
      <c r="O25" s="145">
        <v>0</v>
      </c>
      <c r="P25" s="145">
        <v>0</v>
      </c>
      <c r="Q25" s="150">
        <v>0</v>
      </c>
      <c r="R25" s="145">
        <v>0</v>
      </c>
      <c r="S25" s="169">
        <v>0</v>
      </c>
      <c r="T25" s="150">
        <v>0</v>
      </c>
      <c r="U25" s="145">
        <v>0</v>
      </c>
      <c r="V25" s="169">
        <v>0</v>
      </c>
    </row>
    <row r="26" spans="1:22" ht="38.25" x14ac:dyDescent="0.2">
      <c r="A26" s="137" t="s">
        <v>115</v>
      </c>
      <c r="B26" s="193" t="s">
        <v>138</v>
      </c>
      <c r="C26" s="139" t="s">
        <v>12</v>
      </c>
      <c r="D26" s="141" t="s">
        <v>135</v>
      </c>
      <c r="E26" s="198">
        <f>E23</f>
        <v>17.021067761821172</v>
      </c>
      <c r="F26" s="199">
        <f t="shared" ref="F26" si="21">($D$9*F9+$D$10*F10+$D$11*F11+$D$12*F12+$D$13*F13+$D$14*F14+$D$15*F15+$D$16*F16)/F17</f>
        <v>31.015999999999998</v>
      </c>
      <c r="G26" s="199">
        <f>(E26*E22+F26*F22)/G22</f>
        <v>20.436464152696615</v>
      </c>
      <c r="H26" s="198">
        <f>($D$9*H9+$D$10*H10+$D$11*H11+$D$12*H12+$D$13*H13+$D$14*H14+$D$15*H15+$D$16*H16)/H17</f>
        <v>49.6</v>
      </c>
      <c r="I26" s="199">
        <f t="shared" ref="I26:U26" si="22">($D$9*I9+$D$10*I10+$D$11*I11+$D$12*I12+$D$13*I13+$D$14*I14+$D$15*I15+$D$16*I16)/I17</f>
        <v>49.6</v>
      </c>
      <c r="J26" s="198">
        <f t="shared" si="22"/>
        <v>49.6</v>
      </c>
      <c r="K26" s="199">
        <f t="shared" si="22"/>
        <v>57</v>
      </c>
      <c r="L26" s="199">
        <f>(J26*J22+K26*K22)/L22</f>
        <v>50.030545049049898</v>
      </c>
      <c r="M26" s="198">
        <f t="shared" si="22"/>
        <v>49.6</v>
      </c>
      <c r="N26" s="199">
        <f t="shared" si="22"/>
        <v>49.6</v>
      </c>
      <c r="O26" s="199">
        <f t="shared" si="22"/>
        <v>49.6</v>
      </c>
      <c r="P26" s="199">
        <f t="shared" si="22"/>
        <v>22.5</v>
      </c>
      <c r="Q26" s="198">
        <f t="shared" ref="Q26:R26" si="23">($D$9*Q9+$D$10*Q10+$D$11*Q11+$D$12*Q12+$D$13*Q13+$D$14*Q14+$D$15*Q15+$D$16*Q16)/Q17</f>
        <v>16.2</v>
      </c>
      <c r="R26" s="199">
        <f t="shared" si="23"/>
        <v>49.500702312950644</v>
      </c>
      <c r="S26" s="228">
        <f>(Q26*Q22+R26*R22)/S22</f>
        <v>24.461928234731634</v>
      </c>
      <c r="T26" s="198">
        <f t="shared" si="22"/>
        <v>3.67</v>
      </c>
      <c r="U26" s="199">
        <f t="shared" si="22"/>
        <v>61.6676892371378</v>
      </c>
      <c r="V26" s="228">
        <f>(T26*T22+U26*U22)/V22</f>
        <v>52.529929268618901</v>
      </c>
    </row>
    <row r="27" spans="1:22" ht="25.5" customHeight="1" x14ac:dyDescent="0.2">
      <c r="A27" s="154" t="s">
        <v>145</v>
      </c>
      <c r="B27" s="155" t="s">
        <v>151</v>
      </c>
      <c r="C27" s="155" t="s">
        <v>12</v>
      </c>
      <c r="D27" s="156" t="s">
        <v>135</v>
      </c>
      <c r="E27" s="202">
        <f>E26</f>
        <v>17.021067761821172</v>
      </c>
      <c r="F27" s="203">
        <f t="shared" ref="F27" si="24">(F22*F26+F24*F25)/F18</f>
        <v>1.7043041023710952</v>
      </c>
      <c r="G27" s="203">
        <f>G26</f>
        <v>20.436464152696615</v>
      </c>
      <c r="H27" s="202">
        <f>(H22*H26+H24*H25)/H18</f>
        <v>28.846735433561779</v>
      </c>
      <c r="I27" s="203">
        <f t="shared" ref="I27:V27" si="25">(I22*I26+I24*I25)/I18</f>
        <v>1.0572509939438277</v>
      </c>
      <c r="J27" s="202">
        <f t="shared" si="25"/>
        <v>23.481913245692773</v>
      </c>
      <c r="K27" s="203">
        <f t="shared" si="25"/>
        <v>1.6670416197975253</v>
      </c>
      <c r="L27" s="203">
        <f t="shared" si="25"/>
        <v>25.1489548654903</v>
      </c>
      <c r="M27" s="202">
        <f t="shared" si="25"/>
        <v>1.1076452533827845</v>
      </c>
      <c r="N27" s="203">
        <f t="shared" si="25"/>
        <v>6.9920744272490148E-3</v>
      </c>
      <c r="O27" s="203">
        <f t="shared" si="25"/>
        <v>0.17736126487188511</v>
      </c>
      <c r="P27" s="203">
        <f t="shared" si="25"/>
        <v>5.625</v>
      </c>
      <c r="Q27" s="202">
        <f t="shared" ref="Q27:S27" si="26">(Q22*Q26+Q24*Q25)/Q18</f>
        <v>2.9159999999999995</v>
      </c>
      <c r="R27" s="203">
        <f t="shared" si="26"/>
        <v>2.9400331176018328</v>
      </c>
      <c r="S27" s="229">
        <f t="shared" si="26"/>
        <v>5.8560331176018323</v>
      </c>
      <c r="T27" s="202">
        <f t="shared" si="25"/>
        <v>0.1835</v>
      </c>
      <c r="U27" s="203">
        <f t="shared" si="25"/>
        <v>16.486966962725436</v>
      </c>
      <c r="V27" s="229">
        <f t="shared" si="25"/>
        <v>16.670466962725438</v>
      </c>
    </row>
    <row r="28" spans="1:22" ht="9" customHeight="1" x14ac:dyDescent="0.2">
      <c r="A28" s="130"/>
      <c r="B28" s="163"/>
      <c r="C28" s="163"/>
      <c r="D28" s="130"/>
      <c r="E28" s="130"/>
      <c r="F28" s="130"/>
      <c r="G28" s="130"/>
      <c r="H28" s="163"/>
      <c r="I28" s="130"/>
      <c r="J28" s="164"/>
      <c r="K28" s="164"/>
      <c r="L28" s="164"/>
      <c r="M28" s="130"/>
      <c r="N28" s="130"/>
      <c r="O28" s="130"/>
      <c r="P28" s="130"/>
      <c r="Q28" s="130"/>
      <c r="R28" s="130"/>
      <c r="S28" s="130"/>
      <c r="T28" s="165"/>
      <c r="U28" s="165"/>
      <c r="V28" s="165"/>
    </row>
    <row r="29" spans="1:22" x14ac:dyDescent="0.2">
      <c r="A29" s="130" t="s">
        <v>194</v>
      </c>
      <c r="B29" s="163"/>
      <c r="C29" s="163"/>
      <c r="D29" s="130"/>
      <c r="E29" s="130"/>
      <c r="F29" s="130"/>
      <c r="G29" s="130"/>
      <c r="H29" s="163"/>
      <c r="I29" s="130"/>
      <c r="J29" s="164"/>
      <c r="K29" s="164"/>
      <c r="L29" s="164"/>
      <c r="M29" s="130"/>
      <c r="N29" s="130"/>
      <c r="O29" s="130"/>
      <c r="P29" s="130"/>
      <c r="Q29" s="130"/>
      <c r="R29" s="130"/>
      <c r="S29" s="130"/>
      <c r="T29" s="165"/>
      <c r="U29" s="165"/>
      <c r="V29" s="165"/>
    </row>
    <row r="30" spans="1:22" x14ac:dyDescent="0.2">
      <c r="A30" s="130" t="s">
        <v>161</v>
      </c>
      <c r="B30" s="163"/>
      <c r="C30" s="163"/>
      <c r="D30" s="130"/>
      <c r="E30" s="130"/>
      <c r="F30" s="130"/>
      <c r="G30" s="130"/>
      <c r="H30" s="163"/>
      <c r="I30" s="130"/>
      <c r="J30" s="164"/>
      <c r="K30" s="164"/>
      <c r="L30" s="164"/>
      <c r="M30" s="130"/>
      <c r="N30" s="130"/>
      <c r="O30" s="130"/>
      <c r="P30" s="130"/>
      <c r="Q30" s="130"/>
      <c r="R30" s="130"/>
      <c r="S30" s="130"/>
      <c r="T30" s="165"/>
      <c r="U30" s="165"/>
      <c r="V30" s="165"/>
    </row>
    <row r="31" spans="1:22" x14ac:dyDescent="0.2">
      <c r="A31" s="130" t="s">
        <v>181</v>
      </c>
      <c r="B31" s="163"/>
      <c r="C31" s="163"/>
      <c r="D31" s="130"/>
      <c r="E31" s="130"/>
      <c r="F31" s="130"/>
      <c r="G31" s="130"/>
      <c r="H31" s="163"/>
      <c r="I31" s="130"/>
      <c r="J31" s="164"/>
      <c r="K31" s="164"/>
      <c r="L31" s="164"/>
      <c r="M31" s="130"/>
      <c r="N31" s="130"/>
      <c r="O31" s="130"/>
      <c r="P31" s="130"/>
      <c r="Q31" s="130"/>
      <c r="R31" s="130"/>
      <c r="S31" s="130"/>
      <c r="T31" s="165"/>
      <c r="U31" s="165"/>
      <c r="V31" s="165"/>
    </row>
    <row r="32" spans="1:22" x14ac:dyDescent="0.2">
      <c r="A32" s="130" t="s">
        <v>213</v>
      </c>
      <c r="B32" s="163"/>
      <c r="C32" s="163"/>
      <c r="D32" s="130"/>
      <c r="E32" s="130"/>
      <c r="F32" s="130"/>
      <c r="G32" s="130"/>
      <c r="H32" s="163"/>
      <c r="I32" s="130"/>
      <c r="J32" s="164"/>
      <c r="K32" s="164"/>
      <c r="L32" s="164"/>
      <c r="M32" s="130"/>
      <c r="N32" s="130"/>
      <c r="O32" s="130"/>
      <c r="P32" s="130"/>
      <c r="Q32" s="130"/>
      <c r="R32" s="130"/>
      <c r="S32" s="130"/>
      <c r="T32" s="165"/>
      <c r="U32" s="165"/>
      <c r="V32" s="165"/>
    </row>
    <row r="33" spans="1:22" x14ac:dyDescent="0.2">
      <c r="A33" s="130" t="s">
        <v>212</v>
      </c>
      <c r="B33" s="163"/>
      <c r="C33" s="163"/>
      <c r="D33" s="130"/>
      <c r="E33" s="130"/>
      <c r="F33" s="130"/>
      <c r="G33" s="130"/>
      <c r="H33" s="163"/>
      <c r="I33" s="130"/>
      <c r="J33" s="164"/>
      <c r="K33" s="164"/>
      <c r="L33" s="164"/>
      <c r="M33" s="130"/>
      <c r="N33" s="130"/>
      <c r="O33" s="130"/>
      <c r="P33" s="130"/>
      <c r="Q33" s="130"/>
      <c r="R33" s="130"/>
      <c r="S33" s="130"/>
      <c r="T33" s="165"/>
      <c r="U33" s="165"/>
      <c r="V33" s="165"/>
    </row>
    <row r="34" spans="1:22" x14ac:dyDescent="0.2">
      <c r="P34" s="238">
        <f>P10/100*P19*43560</f>
        <v>72963000</v>
      </c>
      <c r="Q34" s="238">
        <f>Q10/100*Q19*43560</f>
        <v>14097758.399999999</v>
      </c>
      <c r="T34" s="238">
        <f>5/100*T19*43560</f>
        <v>2204136</v>
      </c>
    </row>
    <row r="35" spans="1:22" s="76" customFormat="1" x14ac:dyDescent="0.2">
      <c r="A35" s="249" t="s">
        <v>182</v>
      </c>
      <c r="D35" s="65"/>
      <c r="E35" s="65"/>
      <c r="F35" s="65"/>
      <c r="G35" s="65"/>
      <c r="I35" s="65"/>
      <c r="J35" s="116"/>
      <c r="K35" s="116"/>
      <c r="L35" s="116"/>
      <c r="M35" s="65"/>
      <c r="N35" s="65"/>
      <c r="O35" s="65"/>
      <c r="P35" s="65"/>
      <c r="Q35" s="65"/>
      <c r="R35" s="65"/>
      <c r="S35" s="65"/>
      <c r="T35" s="86"/>
      <c r="U35" s="86"/>
      <c r="V35" s="86"/>
    </row>
  </sheetData>
  <printOptions gridLines="1"/>
  <pageMargins left="0.7" right="0.7" top="0.75" bottom="0.75" header="0.3" footer="0.3"/>
  <pageSetup paperSize="3" scale="94" orientation="landscape" r:id="rId1"/>
  <headerFooter>
    <oddHeader>&amp;LSmith Engineering Company&amp;R&amp;D</oddHeader>
    <oddFooter>&amp;L&amp;"Arial Narrow,Regular"&amp;9&amp;Z&amp;F&amp;A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28"/>
  <sheetViews>
    <sheetView zoomScale="140" zoomScaleNormal="140" workbookViewId="0">
      <selection activeCell="A25" sqref="A25:S27"/>
    </sheetView>
  </sheetViews>
  <sheetFormatPr defaultRowHeight="12.75" x14ac:dyDescent="0.2"/>
  <cols>
    <col min="1" max="1" width="20.28515625" style="65" customWidth="1"/>
    <col min="2" max="3" width="8.28515625" style="65" customWidth="1"/>
    <col min="4" max="4" width="9.42578125" style="65" customWidth="1"/>
    <col min="5" max="5" width="6.7109375" style="235" customWidth="1"/>
    <col min="6" max="6" width="6.5703125" style="235" customWidth="1"/>
    <col min="7" max="7" width="12.28515625" style="86" customWidth="1"/>
    <col min="8" max="8" width="9.42578125" style="65" customWidth="1"/>
    <col min="9" max="9" width="6.7109375" style="235" customWidth="1"/>
    <col min="10" max="10" width="6.5703125" style="235" customWidth="1"/>
    <col min="11" max="11" width="12.28515625" style="86" customWidth="1"/>
    <col min="12" max="12" width="8.7109375" style="65" customWidth="1"/>
    <col min="13" max="13" width="6.85546875" style="65" customWidth="1"/>
    <col min="14" max="14" width="6.5703125" style="65" customWidth="1"/>
    <col min="15" max="15" width="11.85546875" style="86" customWidth="1"/>
    <col min="16" max="16" width="9" style="65" customWidth="1"/>
    <col min="17" max="17" width="7.42578125" style="65" customWidth="1"/>
    <col min="18" max="18" width="7.140625" style="65" customWidth="1"/>
    <col min="19" max="19" width="13" style="86" customWidth="1"/>
    <col min="20" max="16384" width="9.140625" style="65"/>
  </cols>
  <sheetData>
    <row r="1" spans="1:19" x14ac:dyDescent="0.2">
      <c r="A1" s="67" t="s">
        <v>244</v>
      </c>
      <c r="B1" s="68"/>
      <c r="C1" s="68"/>
      <c r="D1" s="68"/>
      <c r="E1" s="230"/>
      <c r="F1" s="230"/>
      <c r="G1" s="69"/>
      <c r="H1" s="68"/>
      <c r="I1" s="230"/>
      <c r="J1" s="230"/>
      <c r="K1" s="69"/>
      <c r="L1" s="68"/>
      <c r="M1" s="68"/>
      <c r="N1" s="68"/>
      <c r="O1" s="69"/>
      <c r="P1" s="68"/>
      <c r="Q1" s="68"/>
      <c r="R1" s="68"/>
      <c r="S1" s="69"/>
    </row>
    <row r="2" spans="1:19" ht="6.75" customHeight="1" x14ac:dyDescent="0.2">
      <c r="A2" s="67"/>
      <c r="B2" s="68"/>
      <c r="C2" s="68"/>
      <c r="D2" s="68"/>
      <c r="E2" s="230"/>
      <c r="F2" s="230"/>
      <c r="G2" s="69"/>
      <c r="H2" s="68"/>
      <c r="I2" s="230"/>
      <c r="J2" s="230"/>
      <c r="K2" s="69"/>
      <c r="L2" s="68"/>
      <c r="M2" s="68"/>
      <c r="N2" s="68"/>
      <c r="O2" s="69"/>
      <c r="P2" s="68"/>
      <c r="Q2" s="68"/>
      <c r="R2" s="68"/>
      <c r="S2" s="69"/>
    </row>
    <row r="3" spans="1:19" x14ac:dyDescent="0.2">
      <c r="A3" s="67" t="s">
        <v>198</v>
      </c>
      <c r="B3" s="68"/>
      <c r="C3" s="68"/>
      <c r="D3" s="68"/>
      <c r="E3" s="230"/>
      <c r="F3" s="230"/>
      <c r="G3" s="69"/>
      <c r="H3" s="68"/>
      <c r="I3" s="230"/>
      <c r="J3" s="230"/>
      <c r="K3" s="69"/>
      <c r="L3" s="68"/>
      <c r="M3" s="68"/>
      <c r="N3" s="68"/>
      <c r="O3" s="69"/>
      <c r="P3" s="68"/>
      <c r="Q3" s="68"/>
      <c r="R3" s="68"/>
      <c r="S3" s="69"/>
    </row>
    <row r="4" spans="1:19" ht="8.25" customHeight="1" x14ac:dyDescent="0.2">
      <c r="A4" s="68"/>
      <c r="B4" s="68"/>
      <c r="C4" s="68"/>
      <c r="D4" s="68"/>
      <c r="E4" s="230"/>
      <c r="F4" s="230"/>
      <c r="G4" s="69"/>
      <c r="H4" s="68"/>
      <c r="I4" s="230"/>
      <c r="J4" s="230"/>
      <c r="K4" s="69"/>
      <c r="L4" s="68"/>
      <c r="M4" s="68"/>
      <c r="N4" s="68"/>
      <c r="O4" s="69"/>
      <c r="P4" s="68"/>
      <c r="Q4" s="68"/>
      <c r="R4" s="68"/>
      <c r="S4" s="69"/>
    </row>
    <row r="5" spans="1:19" ht="63.75" x14ac:dyDescent="0.2">
      <c r="A5" s="70" t="s">
        <v>105</v>
      </c>
      <c r="B5" s="70" t="s">
        <v>191</v>
      </c>
      <c r="C5" s="70" t="s">
        <v>192</v>
      </c>
      <c r="D5" s="71" t="s">
        <v>195</v>
      </c>
      <c r="E5" s="231" t="s">
        <v>196</v>
      </c>
      <c r="F5" s="231" t="s">
        <v>197</v>
      </c>
      <c r="G5" s="72" t="s">
        <v>115</v>
      </c>
      <c r="H5" s="71" t="s">
        <v>195</v>
      </c>
      <c r="I5" s="231" t="s">
        <v>196</v>
      </c>
      <c r="J5" s="231" t="s">
        <v>197</v>
      </c>
      <c r="K5" s="72" t="s">
        <v>115</v>
      </c>
      <c r="L5" s="71" t="s">
        <v>195</v>
      </c>
      <c r="M5" s="231" t="s">
        <v>196</v>
      </c>
      <c r="N5" s="231" t="s">
        <v>197</v>
      </c>
      <c r="O5" s="72" t="s">
        <v>115</v>
      </c>
      <c r="P5" s="71" t="s">
        <v>195</v>
      </c>
      <c r="Q5" s="231" t="s">
        <v>196</v>
      </c>
      <c r="R5" s="231" t="s">
        <v>197</v>
      </c>
      <c r="S5" s="72" t="s">
        <v>115</v>
      </c>
    </row>
    <row r="6" spans="1:19" x14ac:dyDescent="0.2">
      <c r="A6" s="73"/>
      <c r="B6" s="74" t="s">
        <v>12</v>
      </c>
      <c r="C6" s="74"/>
      <c r="D6" s="75" t="s">
        <v>100</v>
      </c>
      <c r="E6" s="232" t="s">
        <v>12</v>
      </c>
      <c r="F6" s="232" t="s">
        <v>12</v>
      </c>
      <c r="G6" s="232" t="s">
        <v>12</v>
      </c>
      <c r="H6" s="75" t="s">
        <v>100</v>
      </c>
      <c r="I6" s="232" t="s">
        <v>12</v>
      </c>
      <c r="J6" s="232" t="s">
        <v>12</v>
      </c>
      <c r="K6" s="232" t="s">
        <v>12</v>
      </c>
      <c r="L6" s="75" t="s">
        <v>100</v>
      </c>
      <c r="M6" s="232" t="s">
        <v>12</v>
      </c>
      <c r="N6" s="74" t="s">
        <v>12</v>
      </c>
      <c r="O6" s="74" t="s">
        <v>12</v>
      </c>
      <c r="P6" s="75" t="s">
        <v>100</v>
      </c>
      <c r="Q6" s="232" t="s">
        <v>12</v>
      </c>
      <c r="R6" s="232" t="s">
        <v>12</v>
      </c>
      <c r="S6" s="306" t="s">
        <v>12</v>
      </c>
    </row>
    <row r="7" spans="1:19" ht="15" customHeight="1" x14ac:dyDescent="0.2">
      <c r="B7" s="76"/>
      <c r="C7" s="76"/>
      <c r="D7" s="445" t="s">
        <v>199</v>
      </c>
      <c r="E7" s="446"/>
      <c r="F7" s="446"/>
      <c r="G7" s="447"/>
      <c r="H7" s="445" t="s">
        <v>211</v>
      </c>
      <c r="I7" s="446"/>
      <c r="J7" s="446"/>
      <c r="K7" s="447"/>
      <c r="L7" s="314" t="s">
        <v>200</v>
      </c>
      <c r="M7" s="323"/>
      <c r="N7" s="315"/>
      <c r="O7" s="316"/>
      <c r="P7" s="314" t="s">
        <v>201</v>
      </c>
      <c r="Q7" s="323"/>
      <c r="R7" s="323"/>
      <c r="S7" s="316"/>
    </row>
    <row r="8" spans="1:19" x14ac:dyDescent="0.2">
      <c r="A8" s="65" t="s">
        <v>107</v>
      </c>
      <c r="B8" s="76">
        <v>80</v>
      </c>
      <c r="C8" s="76" t="s">
        <v>63</v>
      </c>
      <c r="D8" s="77">
        <v>65.08</v>
      </c>
      <c r="E8" s="233">
        <f>D8/$D$17*100</f>
        <v>24.053814311058545</v>
      </c>
      <c r="F8" s="233">
        <f>VALUE(E8)</f>
        <v>24.053814311058545</v>
      </c>
      <c r="G8" s="78" t="s">
        <v>117</v>
      </c>
      <c r="H8" s="77">
        <v>7.41</v>
      </c>
      <c r="I8" s="233">
        <f>H8/$H$17*100</f>
        <v>6.938851952430003</v>
      </c>
      <c r="J8" s="233">
        <f>VALUE(I8)</f>
        <v>6.938851952430003</v>
      </c>
      <c r="K8" s="78" t="s">
        <v>117</v>
      </c>
      <c r="L8" s="77">
        <v>0</v>
      </c>
      <c r="M8" s="233">
        <f>L8/$L$17*100</f>
        <v>0</v>
      </c>
      <c r="N8" s="233">
        <f>VALUE(M8)</f>
        <v>0</v>
      </c>
      <c r="O8" s="78" t="s">
        <v>117</v>
      </c>
      <c r="P8" s="77">
        <v>0</v>
      </c>
      <c r="Q8" s="233">
        <f>P8/$P$17*100</f>
        <v>0</v>
      </c>
      <c r="R8" s="233"/>
      <c r="S8" s="78" t="s">
        <v>117</v>
      </c>
    </row>
    <row r="9" spans="1:19" x14ac:dyDescent="0.2">
      <c r="A9" s="65" t="s">
        <v>108</v>
      </c>
      <c r="B9" s="76">
        <v>90</v>
      </c>
      <c r="C9" s="76" t="s">
        <v>63</v>
      </c>
      <c r="D9" s="77">
        <v>26.06</v>
      </c>
      <c r="E9" s="233">
        <f t="shared" ref="E9:E15" si="0">D9/$D$17*100</f>
        <v>9.6318746303962151</v>
      </c>
      <c r="F9" s="233">
        <f t="shared" ref="F9:F15" si="1">VALUE(E9)</f>
        <v>9.6318746303962151</v>
      </c>
      <c r="G9" s="78" t="s">
        <v>117</v>
      </c>
      <c r="H9" s="77">
        <v>0.95</v>
      </c>
      <c r="I9" s="233">
        <f t="shared" ref="I9:I15" si="2">H9/$H$17*100</f>
        <v>0.88959640415769248</v>
      </c>
      <c r="J9" s="233">
        <f t="shared" ref="J9:J15" si="3">VALUE(I9)</f>
        <v>0.88959640415769248</v>
      </c>
      <c r="K9" s="78" t="s">
        <v>117</v>
      </c>
      <c r="L9" s="77">
        <v>0</v>
      </c>
      <c r="M9" s="233">
        <f t="shared" ref="M9:M15" si="4">L9/$L$17*100</f>
        <v>0</v>
      </c>
      <c r="N9" s="233">
        <f t="shared" ref="N9:N15" si="5">VALUE(M9)</f>
        <v>0</v>
      </c>
      <c r="O9" s="78" t="s">
        <v>117</v>
      </c>
      <c r="P9" s="77">
        <v>28</v>
      </c>
      <c r="Q9" s="233">
        <f t="shared" ref="Q9:Q15" si="6">P9/$P$17*100</f>
        <v>19.17808219178082</v>
      </c>
      <c r="R9" s="233"/>
      <c r="S9" s="78" t="s">
        <v>117</v>
      </c>
    </row>
    <row r="10" spans="1:19" x14ac:dyDescent="0.2">
      <c r="A10" s="65" t="s">
        <v>109</v>
      </c>
      <c r="B10" s="76">
        <v>70</v>
      </c>
      <c r="C10" s="76" t="s">
        <v>63</v>
      </c>
      <c r="D10" s="77">
        <v>24.91</v>
      </c>
      <c r="E10" s="233">
        <f t="shared" si="0"/>
        <v>9.2068302779420463</v>
      </c>
      <c r="F10" s="233">
        <f t="shared" si="1"/>
        <v>9.2068302779420463</v>
      </c>
      <c r="G10" s="78" t="s">
        <v>117</v>
      </c>
      <c r="H10" s="77">
        <v>0</v>
      </c>
      <c r="I10" s="233">
        <f t="shared" si="2"/>
        <v>0</v>
      </c>
      <c r="J10" s="233">
        <f t="shared" si="3"/>
        <v>0</v>
      </c>
      <c r="K10" s="78" t="s">
        <v>117</v>
      </c>
      <c r="L10" s="77">
        <v>0</v>
      </c>
      <c r="M10" s="233">
        <f t="shared" si="4"/>
        <v>0</v>
      </c>
      <c r="N10" s="233">
        <f t="shared" si="5"/>
        <v>0</v>
      </c>
      <c r="O10" s="78" t="s">
        <v>117</v>
      </c>
      <c r="P10" s="77">
        <v>0</v>
      </c>
      <c r="Q10" s="233">
        <f t="shared" si="6"/>
        <v>0</v>
      </c>
      <c r="R10" s="233"/>
      <c r="S10" s="78" t="s">
        <v>117</v>
      </c>
    </row>
    <row r="11" spans="1:19" x14ac:dyDescent="0.2">
      <c r="A11" s="65" t="s">
        <v>202</v>
      </c>
      <c r="B11" s="76">
        <v>57</v>
      </c>
      <c r="C11" s="76" t="s">
        <v>63</v>
      </c>
      <c r="D11" s="77">
        <v>125.64</v>
      </c>
      <c r="E11" s="233">
        <f t="shared" si="0"/>
        <v>46.437019515079839</v>
      </c>
      <c r="F11" s="233">
        <f t="shared" si="1"/>
        <v>46.437019515079839</v>
      </c>
      <c r="G11" s="78" t="s">
        <v>117</v>
      </c>
      <c r="H11" s="77">
        <v>80.84</v>
      </c>
      <c r="I11" s="233">
        <f t="shared" si="2"/>
        <v>75.699971907481981</v>
      </c>
      <c r="J11" s="233">
        <f t="shared" si="3"/>
        <v>75.699971907481981</v>
      </c>
      <c r="K11" s="78" t="s">
        <v>117</v>
      </c>
      <c r="L11" s="77">
        <v>78</v>
      </c>
      <c r="M11" s="233">
        <f t="shared" si="4"/>
        <v>100</v>
      </c>
      <c r="N11" s="233">
        <f t="shared" si="5"/>
        <v>100</v>
      </c>
      <c r="O11" s="78" t="s">
        <v>117</v>
      </c>
      <c r="P11" s="77">
        <v>0</v>
      </c>
      <c r="Q11" s="233">
        <f t="shared" si="6"/>
        <v>0</v>
      </c>
      <c r="R11" s="233"/>
      <c r="S11" s="78" t="s">
        <v>117</v>
      </c>
    </row>
    <row r="12" spans="1:19" x14ac:dyDescent="0.2">
      <c r="A12" s="65" t="s">
        <v>203</v>
      </c>
      <c r="B12" s="76">
        <v>17</v>
      </c>
      <c r="C12" s="76" t="s">
        <v>63</v>
      </c>
      <c r="D12" s="77">
        <v>0</v>
      </c>
      <c r="E12" s="233">
        <f t="shared" si="0"/>
        <v>0</v>
      </c>
      <c r="F12" s="233">
        <f t="shared" si="1"/>
        <v>0</v>
      </c>
      <c r="G12" s="78" t="s">
        <v>117</v>
      </c>
      <c r="H12" s="77">
        <v>0</v>
      </c>
      <c r="I12" s="233">
        <f t="shared" si="2"/>
        <v>0</v>
      </c>
      <c r="J12" s="233">
        <f t="shared" si="3"/>
        <v>0</v>
      </c>
      <c r="K12" s="78" t="s">
        <v>117</v>
      </c>
      <c r="L12" s="77">
        <v>0</v>
      </c>
      <c r="M12" s="233">
        <f t="shared" si="4"/>
        <v>0</v>
      </c>
      <c r="N12" s="233">
        <f t="shared" si="5"/>
        <v>0</v>
      </c>
      <c r="O12" s="78" t="s">
        <v>117</v>
      </c>
      <c r="P12" s="77">
        <v>118</v>
      </c>
      <c r="Q12" s="233">
        <f t="shared" si="6"/>
        <v>80.821917808219183</v>
      </c>
      <c r="R12" s="233"/>
      <c r="S12" s="78" t="s">
        <v>117</v>
      </c>
    </row>
    <row r="13" spans="1:19" x14ac:dyDescent="0.2">
      <c r="A13" s="65" t="s">
        <v>111</v>
      </c>
      <c r="B13" s="76">
        <v>7</v>
      </c>
      <c r="C13" s="76" t="s">
        <v>63</v>
      </c>
      <c r="D13" s="77">
        <v>2.59</v>
      </c>
      <c r="E13" s="233">
        <f t="shared" si="0"/>
        <v>0.95727380248373739</v>
      </c>
      <c r="F13" s="233">
        <f t="shared" si="1"/>
        <v>0.95727380248373739</v>
      </c>
      <c r="G13" s="78" t="s">
        <v>117</v>
      </c>
      <c r="H13" s="77">
        <v>0</v>
      </c>
      <c r="I13" s="233">
        <f t="shared" si="2"/>
        <v>0</v>
      </c>
      <c r="J13" s="233">
        <f t="shared" si="3"/>
        <v>0</v>
      </c>
      <c r="K13" s="78" t="s">
        <v>117</v>
      </c>
      <c r="L13" s="77">
        <v>0</v>
      </c>
      <c r="M13" s="233">
        <f t="shared" si="4"/>
        <v>0</v>
      </c>
      <c r="N13" s="233">
        <f t="shared" si="5"/>
        <v>0</v>
      </c>
      <c r="O13" s="78" t="s">
        <v>117</v>
      </c>
      <c r="P13" s="77">
        <v>0</v>
      </c>
      <c r="Q13" s="233">
        <f t="shared" si="6"/>
        <v>0</v>
      </c>
      <c r="R13" s="233"/>
      <c r="S13" s="78" t="s">
        <v>117</v>
      </c>
    </row>
    <row r="14" spans="1:19" x14ac:dyDescent="0.2">
      <c r="A14" s="65" t="s">
        <v>112</v>
      </c>
      <c r="B14" s="76">
        <v>90</v>
      </c>
      <c r="C14" s="76" t="s">
        <v>136</v>
      </c>
      <c r="D14" s="77">
        <v>2.33</v>
      </c>
      <c r="E14" s="233">
        <f t="shared" si="0"/>
        <v>0.861176818450621</v>
      </c>
      <c r="F14" s="233">
        <f t="shared" si="1"/>
        <v>0.861176818450621</v>
      </c>
      <c r="G14" s="78" t="s">
        <v>117</v>
      </c>
      <c r="H14" s="77">
        <v>0</v>
      </c>
      <c r="I14" s="233">
        <f t="shared" si="2"/>
        <v>0</v>
      </c>
      <c r="J14" s="233">
        <f t="shared" si="3"/>
        <v>0</v>
      </c>
      <c r="K14" s="78" t="s">
        <v>117</v>
      </c>
      <c r="L14" s="77">
        <v>0</v>
      </c>
      <c r="M14" s="233">
        <f t="shared" si="4"/>
        <v>0</v>
      </c>
      <c r="N14" s="233">
        <f t="shared" si="5"/>
        <v>0</v>
      </c>
      <c r="O14" s="78" t="s">
        <v>117</v>
      </c>
      <c r="P14" s="77">
        <v>0</v>
      </c>
      <c r="Q14" s="233">
        <f t="shared" si="6"/>
        <v>0</v>
      </c>
      <c r="R14" s="233"/>
      <c r="S14" s="78" t="s">
        <v>117</v>
      </c>
    </row>
    <row r="15" spans="1:19" x14ac:dyDescent="0.2">
      <c r="A15" s="73" t="s">
        <v>113</v>
      </c>
      <c r="B15" s="74">
        <v>0</v>
      </c>
      <c r="C15" s="79" t="s">
        <v>136</v>
      </c>
      <c r="D15" s="75">
        <v>23.95</v>
      </c>
      <c r="E15" s="233">
        <f t="shared" si="0"/>
        <v>8.8520106445890008</v>
      </c>
      <c r="F15" s="233">
        <f t="shared" si="1"/>
        <v>8.8520106445890008</v>
      </c>
      <c r="G15" s="80" t="s">
        <v>117</v>
      </c>
      <c r="H15" s="75">
        <v>17.59</v>
      </c>
      <c r="I15" s="233">
        <f t="shared" si="2"/>
        <v>16.47157973593033</v>
      </c>
      <c r="J15" s="233">
        <f t="shared" si="3"/>
        <v>16.47157973593033</v>
      </c>
      <c r="K15" s="80" t="s">
        <v>117</v>
      </c>
      <c r="L15" s="75">
        <v>0</v>
      </c>
      <c r="M15" s="233">
        <f t="shared" si="4"/>
        <v>0</v>
      </c>
      <c r="N15" s="233">
        <f t="shared" si="5"/>
        <v>0</v>
      </c>
      <c r="O15" s="80" t="s">
        <v>117</v>
      </c>
      <c r="P15" s="75">
        <v>0</v>
      </c>
      <c r="Q15" s="233">
        <f t="shared" si="6"/>
        <v>0</v>
      </c>
      <c r="R15" s="233"/>
      <c r="S15" s="80" t="s">
        <v>117</v>
      </c>
    </row>
    <row r="16" spans="1:19" x14ac:dyDescent="0.2">
      <c r="A16" s="81"/>
      <c r="B16" s="82"/>
      <c r="C16" s="82"/>
      <c r="D16" s="83" t="s">
        <v>118</v>
      </c>
      <c r="E16" s="234"/>
      <c r="F16" s="234"/>
      <c r="G16" s="84" t="s">
        <v>119</v>
      </c>
      <c r="H16" s="83" t="s">
        <v>118</v>
      </c>
      <c r="I16" s="234"/>
      <c r="J16" s="234"/>
      <c r="K16" s="84" t="s">
        <v>119</v>
      </c>
      <c r="L16" s="83" t="s">
        <v>118</v>
      </c>
      <c r="M16" s="234"/>
      <c r="N16" s="234"/>
      <c r="O16" s="84" t="s">
        <v>119</v>
      </c>
      <c r="P16" s="83" t="s">
        <v>118</v>
      </c>
      <c r="Q16" s="234"/>
      <c r="R16" s="234"/>
      <c r="S16" s="84" t="s">
        <v>119</v>
      </c>
    </row>
    <row r="17" spans="1:19" x14ac:dyDescent="0.2">
      <c r="B17" s="76"/>
      <c r="C17" s="85" t="s">
        <v>13</v>
      </c>
      <c r="D17" s="307">
        <f>SUM(D8:D15)</f>
        <v>270.56</v>
      </c>
      <c r="E17" s="308">
        <f>SUM(E8:E15)</f>
        <v>100</v>
      </c>
      <c r="F17" s="308"/>
      <c r="G17" s="322">
        <f>($B$8*D8+$B$9*D9+$B$10*D10+$B$11*D11+$B$12*D12+$B$13*D13+$B$14*D14+$B$15*D15)/D17</f>
        <v>61.667689237137793</v>
      </c>
      <c r="H17" s="307">
        <f>SUM(H8:H15)</f>
        <v>106.79</v>
      </c>
      <c r="I17" s="308">
        <f>SUM(I8:I15)</f>
        <v>100.00000000000001</v>
      </c>
      <c r="J17" s="308"/>
      <c r="K17" s="322">
        <f>($B$8*H8+$B$9*H9+$B$10*H10+$B$11*H11+$B$12*H12+$B$13*H13+$B$14*H14+$B$15*H15)/H17</f>
        <v>49.500702312950651</v>
      </c>
      <c r="L17" s="307">
        <f>SUM(L8:L15)</f>
        <v>78</v>
      </c>
      <c r="M17" s="308">
        <f>SUM(M8:M15)</f>
        <v>100</v>
      </c>
      <c r="N17" s="308"/>
      <c r="O17" s="322">
        <f>($B$8*L8+$B$9*L9+$B$10*L10+$B$11*L11+$B$12*L12+$B$13*L13+$B$14*L14+$B$15*L15)/L17</f>
        <v>57</v>
      </c>
      <c r="P17" s="307">
        <f>SUM(P8:P15)</f>
        <v>146</v>
      </c>
      <c r="Q17" s="308">
        <f>SUM(Q8:Q15)</f>
        <v>100</v>
      </c>
      <c r="R17" s="308"/>
      <c r="S17" s="322">
        <f>($B$8*P8+$B$9*P9+$B$10*P10+$B$11*P11+$B$12*P12+$B$13*P13+$B$14*P14+$B$15*P15)/P17</f>
        <v>31</v>
      </c>
    </row>
    <row r="18" spans="1:19" x14ac:dyDescent="0.2">
      <c r="A18" s="317"/>
      <c r="B18" s="309" t="s">
        <v>172</v>
      </c>
      <c r="C18" s="310" t="s">
        <v>122</v>
      </c>
      <c r="D18" s="313">
        <f>D17*43560</f>
        <v>11785593.6</v>
      </c>
      <c r="E18" s="311"/>
      <c r="F18" s="311"/>
      <c r="G18" s="311"/>
      <c r="H18" s="313">
        <f>H17*43560</f>
        <v>4651772.4000000004</v>
      </c>
      <c r="I18" s="311"/>
      <c r="J18" s="311"/>
      <c r="K18" s="311"/>
      <c r="L18" s="313">
        <f>L17*43560</f>
        <v>3397680</v>
      </c>
      <c r="M18" s="311"/>
      <c r="N18" s="311"/>
      <c r="O18" s="311"/>
      <c r="P18" s="313">
        <f>P17*43560</f>
        <v>6359760</v>
      </c>
      <c r="Q18" s="310"/>
      <c r="R18" s="310"/>
      <c r="S18" s="312"/>
    </row>
    <row r="19" spans="1:19" ht="8.25" customHeight="1" x14ac:dyDescent="0.2">
      <c r="A19" s="130"/>
      <c r="B19" s="130"/>
      <c r="C19" s="130"/>
      <c r="D19" s="130"/>
      <c r="E19" s="318"/>
      <c r="F19" s="318"/>
      <c r="G19" s="165"/>
      <c r="H19" s="130"/>
      <c r="I19" s="318"/>
      <c r="J19" s="318"/>
      <c r="K19" s="165"/>
      <c r="L19" s="130"/>
      <c r="M19" s="130"/>
      <c r="N19" s="130"/>
      <c r="O19" s="165"/>
      <c r="P19" s="130"/>
      <c r="Q19" s="130"/>
      <c r="R19" s="130"/>
      <c r="S19" s="165"/>
    </row>
    <row r="20" spans="1:19" x14ac:dyDescent="0.2">
      <c r="A20" s="130" t="s">
        <v>240</v>
      </c>
      <c r="B20" s="130"/>
      <c r="C20" s="130"/>
      <c r="D20" s="130"/>
      <c r="E20" s="318"/>
      <c r="F20" s="318"/>
      <c r="G20" s="165"/>
      <c r="H20" s="130"/>
      <c r="I20" s="318"/>
      <c r="J20" s="318"/>
      <c r="K20" s="165"/>
      <c r="L20" s="130"/>
      <c r="M20" s="130"/>
      <c r="N20" s="130"/>
      <c r="O20" s="165"/>
      <c r="P20" s="130"/>
      <c r="Q20" s="130"/>
      <c r="R20" s="130"/>
      <c r="S20" s="165"/>
    </row>
    <row r="21" spans="1:19" x14ac:dyDescent="0.2">
      <c r="A21" s="130" t="s">
        <v>229</v>
      </c>
      <c r="B21" s="130"/>
      <c r="C21" s="130"/>
      <c r="D21" s="130"/>
      <c r="E21" s="318"/>
      <c r="F21" s="318"/>
      <c r="G21" s="165"/>
      <c r="H21" s="130"/>
      <c r="I21" s="318"/>
      <c r="J21" s="318"/>
      <c r="K21" s="165"/>
      <c r="L21" s="130"/>
      <c r="M21" s="130"/>
      <c r="N21" s="130"/>
      <c r="O21" s="165"/>
      <c r="P21" s="130"/>
      <c r="Q21" s="130"/>
      <c r="R21" s="130"/>
      <c r="S21" s="165"/>
    </row>
    <row r="22" spans="1:19" ht="14.25" customHeight="1" x14ac:dyDescent="0.2">
      <c r="A22" s="443" t="s">
        <v>207</v>
      </c>
      <c r="B22" s="451"/>
      <c r="C22" s="451"/>
      <c r="D22" s="451"/>
      <c r="E22" s="451"/>
      <c r="F22" s="451"/>
      <c r="G22" s="451"/>
      <c r="H22" s="451"/>
      <c r="I22" s="451"/>
      <c r="J22" s="451"/>
      <c r="K22" s="451"/>
      <c r="L22" s="452"/>
      <c r="M22" s="452"/>
      <c r="N22" s="452"/>
      <c r="O22" s="452"/>
      <c r="P22" s="452"/>
      <c r="Q22" s="452"/>
      <c r="R22" s="452"/>
      <c r="S22" s="452"/>
    </row>
    <row r="23" spans="1:19" ht="7.5" customHeight="1" x14ac:dyDescent="0.2">
      <c r="A23" s="443" t="s">
        <v>241</v>
      </c>
      <c r="B23" s="451"/>
      <c r="C23" s="451"/>
      <c r="D23" s="451"/>
      <c r="E23" s="451"/>
      <c r="F23" s="451"/>
      <c r="G23" s="451"/>
      <c r="H23" s="451"/>
      <c r="I23" s="451"/>
      <c r="J23" s="451"/>
      <c r="K23" s="451"/>
      <c r="L23" s="452"/>
      <c r="M23" s="452"/>
      <c r="N23" s="452"/>
      <c r="O23" s="452"/>
      <c r="P23" s="452"/>
      <c r="Q23" s="452"/>
      <c r="R23" s="452"/>
      <c r="S23" s="452"/>
    </row>
    <row r="24" spans="1:19" ht="7.5" customHeight="1" x14ac:dyDescent="0.2">
      <c r="A24" s="452"/>
      <c r="B24" s="452"/>
      <c r="C24" s="452"/>
      <c r="D24" s="452"/>
      <c r="E24" s="452"/>
      <c r="F24" s="452"/>
      <c r="G24" s="452"/>
      <c r="H24" s="452"/>
      <c r="I24" s="452"/>
      <c r="J24" s="452"/>
      <c r="K24" s="452"/>
      <c r="L24" s="452"/>
      <c r="M24" s="452"/>
      <c r="N24" s="452"/>
      <c r="O24" s="452"/>
      <c r="P24" s="452"/>
      <c r="Q24" s="452"/>
      <c r="R24" s="452"/>
      <c r="S24" s="452"/>
    </row>
    <row r="25" spans="1:19" x14ac:dyDescent="0.2">
      <c r="A25" s="448" t="s">
        <v>242</v>
      </c>
      <c r="B25" s="449"/>
      <c r="C25" s="449"/>
      <c r="D25" s="449"/>
      <c r="E25" s="449"/>
      <c r="F25" s="449"/>
      <c r="G25" s="449"/>
      <c r="H25" s="449"/>
      <c r="I25" s="449"/>
      <c r="J25" s="449"/>
      <c r="K25" s="449"/>
      <c r="L25" s="450"/>
      <c r="M25" s="450"/>
      <c r="N25" s="450"/>
      <c r="O25" s="450"/>
      <c r="P25" s="450"/>
      <c r="Q25" s="450"/>
      <c r="R25" s="450"/>
      <c r="S25" s="450"/>
    </row>
    <row r="26" spans="1:19" x14ac:dyDescent="0.2">
      <c r="A26" s="450"/>
      <c r="B26" s="450"/>
      <c r="C26" s="450"/>
      <c r="D26" s="450"/>
      <c r="E26" s="450"/>
      <c r="F26" s="450"/>
      <c r="G26" s="450"/>
      <c r="H26" s="450"/>
      <c r="I26" s="450"/>
      <c r="J26" s="450"/>
      <c r="K26" s="450"/>
      <c r="L26" s="450"/>
      <c r="M26" s="450"/>
      <c r="N26" s="450"/>
      <c r="O26" s="450"/>
      <c r="P26" s="450"/>
      <c r="Q26" s="450"/>
      <c r="R26" s="450"/>
      <c r="S26" s="450"/>
    </row>
    <row r="27" spans="1:19" x14ac:dyDescent="0.2">
      <c r="A27" s="450"/>
      <c r="B27" s="450"/>
      <c r="C27" s="450"/>
      <c r="D27" s="450"/>
      <c r="E27" s="450"/>
      <c r="F27" s="450"/>
      <c r="G27" s="450"/>
      <c r="H27" s="450"/>
      <c r="I27" s="450"/>
      <c r="J27" s="450"/>
      <c r="K27" s="450"/>
      <c r="L27" s="450"/>
      <c r="M27" s="450"/>
      <c r="N27" s="450"/>
      <c r="O27" s="450"/>
      <c r="P27" s="450"/>
      <c r="Q27" s="450"/>
      <c r="R27" s="450"/>
      <c r="S27" s="450"/>
    </row>
    <row r="28" spans="1:19" x14ac:dyDescent="0.2">
      <c r="A28" s="373" t="s">
        <v>208</v>
      </c>
      <c r="B28" s="373"/>
      <c r="C28" s="373"/>
      <c r="D28" s="373"/>
      <c r="E28" s="374"/>
      <c r="F28" s="374"/>
      <c r="G28" s="375"/>
      <c r="H28" s="373"/>
      <c r="I28" s="374"/>
      <c r="J28" s="374"/>
      <c r="K28" s="375"/>
      <c r="L28" s="373"/>
      <c r="M28" s="373"/>
      <c r="N28" s="373"/>
      <c r="O28" s="375"/>
      <c r="P28" s="373"/>
      <c r="Q28" s="373"/>
      <c r="R28" s="373"/>
      <c r="S28" s="375"/>
    </row>
  </sheetData>
  <mergeCells count="5">
    <mergeCell ref="D7:G7"/>
    <mergeCell ref="H7:K7"/>
    <mergeCell ref="A25:S27"/>
    <mergeCell ref="A23:S24"/>
    <mergeCell ref="A22:S22"/>
  </mergeCells>
  <printOptions gridLines="1"/>
  <pageMargins left="0.7" right="0.7" top="1.25" bottom="0.75" header="0.3" footer="0.3"/>
  <pageSetup scale="68" orientation="landscape" r:id="rId1"/>
  <headerFooter>
    <oddHeader>&amp;LSmith Engineering Company&amp;R&amp;D</oddHeader>
    <oddFooter>&amp;L&amp;"Arial Narrow,Regular"&amp;9&amp;Z&amp;F&amp;A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50"/>
  <sheetViews>
    <sheetView tabSelected="1" view="pageBreakPreview" topLeftCell="A6" zoomScale="70" zoomScaleNormal="120" zoomScaleSheetLayoutView="70" zoomScalePageLayoutView="40" workbookViewId="0">
      <selection activeCell="X28" sqref="X28"/>
    </sheetView>
  </sheetViews>
  <sheetFormatPr defaultRowHeight="16.5" x14ac:dyDescent="0.3"/>
  <cols>
    <col min="1" max="1" width="8.42578125" style="1" customWidth="1"/>
    <col min="2" max="2" width="7.85546875" style="1" customWidth="1"/>
    <col min="3" max="3" width="41.28515625" style="1" customWidth="1"/>
    <col min="4" max="4" width="7.42578125" style="6" customWidth="1"/>
    <col min="5" max="5" width="10.85546875" style="111" customWidth="1"/>
    <col min="6" max="6" width="6.85546875" style="1" customWidth="1"/>
    <col min="7" max="7" width="6.85546875" style="4" customWidth="1"/>
    <col min="8" max="9" width="9.140625" style="1"/>
    <col min="10" max="10" width="10.140625" style="1" customWidth="1"/>
    <col min="11" max="11" width="10" style="1" customWidth="1"/>
    <col min="12" max="12" width="11.28515625" style="1" customWidth="1"/>
    <col min="13" max="13" width="12.140625" style="1" customWidth="1"/>
    <col min="14" max="14" width="5.7109375" style="1" customWidth="1"/>
    <col min="15" max="16" width="9.140625" style="4"/>
    <col min="17" max="18" width="8.7109375" style="305" customWidth="1"/>
    <col min="19" max="16384" width="9.140625" style="1"/>
  </cols>
  <sheetData>
    <row r="1" spans="1:18" x14ac:dyDescent="0.3">
      <c r="A1" s="34"/>
      <c r="B1" s="26"/>
      <c r="C1" s="26"/>
      <c r="D1" s="27"/>
      <c r="E1" s="97"/>
      <c r="F1" s="26"/>
      <c r="G1" s="28"/>
      <c r="H1" s="26"/>
      <c r="I1" s="26"/>
      <c r="J1" s="26"/>
      <c r="K1" s="26"/>
      <c r="L1" s="26"/>
      <c r="M1" s="26"/>
      <c r="N1" s="26"/>
      <c r="O1" s="28"/>
      <c r="P1" s="26" t="s">
        <v>245</v>
      </c>
      <c r="Q1" s="388"/>
      <c r="R1" s="388"/>
    </row>
    <row r="2" spans="1:18" ht="3.75" customHeight="1" x14ac:dyDescent="0.3">
      <c r="A2" s="26"/>
      <c r="B2" s="26"/>
      <c r="C2" s="26"/>
      <c r="D2" s="27"/>
      <c r="E2" s="97"/>
      <c r="F2" s="26"/>
      <c r="G2" s="28"/>
      <c r="H2" s="26"/>
      <c r="I2" s="26"/>
      <c r="J2" s="26"/>
      <c r="K2" s="26"/>
      <c r="L2" s="26"/>
      <c r="M2" s="26"/>
      <c r="N2" s="26"/>
      <c r="O2" s="28"/>
      <c r="P2" s="28"/>
      <c r="Q2" s="388"/>
      <c r="R2" s="388"/>
    </row>
    <row r="3" spans="1:18" x14ac:dyDescent="0.3">
      <c r="A3" s="34"/>
      <c r="B3" s="26"/>
      <c r="C3" s="26"/>
      <c r="D3" s="27"/>
      <c r="E3" s="97"/>
      <c r="F3" s="26"/>
      <c r="G3" s="28"/>
      <c r="H3" s="26"/>
      <c r="I3" s="26"/>
      <c r="J3" s="26"/>
      <c r="K3" s="26"/>
      <c r="L3" s="26"/>
      <c r="M3" s="26"/>
      <c r="N3" s="26"/>
      <c r="P3" s="26" t="s">
        <v>226</v>
      </c>
      <c r="Q3" s="388"/>
      <c r="R3" s="388"/>
    </row>
    <row r="4" spans="1:18" ht="4.5" customHeight="1" x14ac:dyDescent="0.3">
      <c r="A4" s="29" t="s">
        <v>13</v>
      </c>
      <c r="B4" s="29"/>
      <c r="C4" s="29"/>
      <c r="D4" s="30"/>
      <c r="E4" s="98"/>
      <c r="F4" s="29"/>
      <c r="G4" s="31"/>
      <c r="H4" s="29"/>
      <c r="I4" s="29"/>
      <c r="J4" s="29"/>
      <c r="K4" s="280" t="s">
        <v>13</v>
      </c>
      <c r="L4" s="280"/>
      <c r="M4" s="280"/>
      <c r="N4" s="280"/>
      <c r="O4" s="281"/>
      <c r="P4" s="281"/>
      <c r="Q4" s="391" t="s">
        <v>13</v>
      </c>
      <c r="R4" s="391"/>
    </row>
    <row r="5" spans="1:18" ht="99" x14ac:dyDescent="0.3">
      <c r="A5" s="296"/>
      <c r="B5" s="40"/>
      <c r="C5" s="40"/>
      <c r="D5" s="272" t="s">
        <v>55</v>
      </c>
      <c r="E5" s="273"/>
      <c r="F5" s="274"/>
      <c r="G5" s="275"/>
      <c r="H5" s="282" t="s">
        <v>53</v>
      </c>
      <c r="I5" s="277" t="s">
        <v>54</v>
      </c>
      <c r="J5" s="282" t="s">
        <v>53</v>
      </c>
      <c r="K5" s="277" t="s">
        <v>54</v>
      </c>
      <c r="L5" s="282" t="s">
        <v>185</v>
      </c>
      <c r="M5" s="277" t="s">
        <v>186</v>
      </c>
      <c r="N5" s="287" t="s">
        <v>142</v>
      </c>
      <c r="O5" s="299" t="s">
        <v>53</v>
      </c>
      <c r="P5" s="292" t="s">
        <v>54</v>
      </c>
      <c r="Q5" s="392" t="s">
        <v>53</v>
      </c>
      <c r="R5" s="393" t="s">
        <v>54</v>
      </c>
    </row>
    <row r="6" spans="1:18" ht="49.5" x14ac:dyDescent="0.3">
      <c r="A6" s="297" t="s">
        <v>73</v>
      </c>
      <c r="B6" s="2" t="s">
        <v>3</v>
      </c>
      <c r="C6" s="2" t="s">
        <v>4</v>
      </c>
      <c r="D6" s="7" t="s">
        <v>5</v>
      </c>
      <c r="E6" s="99" t="s">
        <v>5</v>
      </c>
      <c r="F6" s="2" t="s">
        <v>6</v>
      </c>
      <c r="G6" s="5" t="s">
        <v>7</v>
      </c>
      <c r="H6" s="283" t="s">
        <v>8</v>
      </c>
      <c r="I6" s="11" t="s">
        <v>8</v>
      </c>
      <c r="J6" s="283" t="s">
        <v>56</v>
      </c>
      <c r="K6" s="11" t="s">
        <v>56</v>
      </c>
      <c r="L6" s="283"/>
      <c r="M6" s="11"/>
      <c r="N6" s="288"/>
      <c r="O6" s="300" t="s">
        <v>9</v>
      </c>
      <c r="P6" s="293" t="s">
        <v>9</v>
      </c>
      <c r="Q6" s="394" t="s">
        <v>189</v>
      </c>
      <c r="R6" s="395" t="s">
        <v>189</v>
      </c>
    </row>
    <row r="7" spans="1:18" x14ac:dyDescent="0.3">
      <c r="A7" s="297"/>
      <c r="B7" s="2"/>
      <c r="C7" s="2"/>
      <c r="D7" s="7" t="s">
        <v>100</v>
      </c>
      <c r="E7" s="99" t="s">
        <v>10</v>
      </c>
      <c r="F7" s="2" t="s">
        <v>11</v>
      </c>
      <c r="G7" s="5" t="s">
        <v>11</v>
      </c>
      <c r="H7" s="283"/>
      <c r="I7" s="11"/>
      <c r="J7" s="283" t="s">
        <v>12</v>
      </c>
      <c r="K7" s="11" t="s">
        <v>12</v>
      </c>
      <c r="L7" s="283" t="s">
        <v>12</v>
      </c>
      <c r="M7" s="11" t="s">
        <v>12</v>
      </c>
      <c r="N7" s="288"/>
      <c r="O7" s="300" t="s">
        <v>12</v>
      </c>
      <c r="P7" s="294" t="s">
        <v>12</v>
      </c>
      <c r="Q7" s="455" t="s">
        <v>251</v>
      </c>
      <c r="R7" s="456"/>
    </row>
    <row r="8" spans="1:18" x14ac:dyDescent="0.3">
      <c r="A8" s="289" t="s">
        <v>62</v>
      </c>
      <c r="B8" s="14"/>
      <c r="C8" s="14"/>
      <c r="D8" s="19" t="s">
        <v>62</v>
      </c>
      <c r="E8" s="100" t="s">
        <v>63</v>
      </c>
      <c r="F8" s="20" t="s">
        <v>62</v>
      </c>
      <c r="G8" s="21" t="s">
        <v>62</v>
      </c>
      <c r="H8" s="284" t="s">
        <v>62</v>
      </c>
      <c r="I8" s="23" t="s">
        <v>62</v>
      </c>
      <c r="J8" s="284" t="s">
        <v>187</v>
      </c>
      <c r="K8" s="23" t="s">
        <v>188</v>
      </c>
      <c r="L8" s="284" t="s">
        <v>15</v>
      </c>
      <c r="M8" s="23" t="s">
        <v>15</v>
      </c>
      <c r="N8" s="289"/>
      <c r="O8" s="301" t="s">
        <v>138</v>
      </c>
      <c r="P8" s="435" t="s">
        <v>138</v>
      </c>
      <c r="Q8" s="436" t="s">
        <v>13</v>
      </c>
      <c r="R8" s="396" t="s">
        <v>13</v>
      </c>
    </row>
    <row r="9" spans="1:18" x14ac:dyDescent="0.3">
      <c r="A9" s="298">
        <v>1</v>
      </c>
      <c r="B9" s="3" t="s">
        <v>14</v>
      </c>
      <c r="C9" s="3" t="s">
        <v>35</v>
      </c>
      <c r="D9" s="6">
        <v>2169</v>
      </c>
      <c r="E9" s="101">
        <f>D9/640</f>
        <v>3.3890625000000001</v>
      </c>
      <c r="F9" s="3">
        <v>139.6</v>
      </c>
      <c r="G9" s="8">
        <f>F9*0.6</f>
        <v>83.759999999999991</v>
      </c>
      <c r="H9" s="285">
        <v>78</v>
      </c>
      <c r="I9" s="9">
        <v>78</v>
      </c>
      <c r="J9" s="285">
        <v>14</v>
      </c>
      <c r="K9" s="9">
        <v>14</v>
      </c>
      <c r="L9" s="285">
        <f>J9</f>
        <v>14</v>
      </c>
      <c r="M9" s="9">
        <f>K9</f>
        <v>14</v>
      </c>
      <c r="N9" s="290" t="s">
        <v>136</v>
      </c>
      <c r="O9" s="302">
        <f>0.0002*L9^2-0.05*L9+10</f>
        <v>9.3391999999999999</v>
      </c>
      <c r="P9" s="304">
        <f>0.0002*M9^2-0.05*M9+10</f>
        <v>9.3391999999999999</v>
      </c>
      <c r="Q9" s="305">
        <f>O9/100+1</f>
        <v>1.0933919999999999</v>
      </c>
      <c r="R9" s="305">
        <f>P9/100+1</f>
        <v>1.0933919999999999</v>
      </c>
    </row>
    <row r="10" spans="1:18" x14ac:dyDescent="0.3">
      <c r="A10" s="298">
        <f>A9+1</f>
        <v>2</v>
      </c>
      <c r="B10" s="3" t="s">
        <v>16</v>
      </c>
      <c r="C10" s="3" t="s">
        <v>36</v>
      </c>
      <c r="D10" s="6">
        <v>4796</v>
      </c>
      <c r="E10" s="101">
        <f t="shared" ref="E10:E28" si="0">D10/640</f>
        <v>7.4937500000000004</v>
      </c>
      <c r="F10" s="3">
        <v>199.9</v>
      </c>
      <c r="G10" s="8">
        <f t="shared" ref="G10:G28" si="1">F10*0.6</f>
        <v>119.94</v>
      </c>
      <c r="H10" s="285">
        <v>78</v>
      </c>
      <c r="I10" s="9">
        <v>78</v>
      </c>
      <c r="J10" s="285">
        <v>12</v>
      </c>
      <c r="K10" s="9">
        <v>12</v>
      </c>
      <c r="L10" s="285">
        <f>J10</f>
        <v>12</v>
      </c>
      <c r="M10" s="9">
        <f>K10</f>
        <v>12</v>
      </c>
      <c r="N10" s="290" t="s">
        <v>136</v>
      </c>
      <c r="O10" s="302">
        <f t="shared" ref="O10:O18" si="2">0.0002*L10^2-0.05*L10+10</f>
        <v>9.4288000000000007</v>
      </c>
      <c r="P10" s="304">
        <f t="shared" ref="P10:P18" si="3">0.0002*M10^2-0.05*M10+10</f>
        <v>9.4288000000000007</v>
      </c>
      <c r="Q10" s="305">
        <f>O10/100+1</f>
        <v>1.0942879999999999</v>
      </c>
      <c r="R10" s="305">
        <f>P10/100+1</f>
        <v>1.0942879999999999</v>
      </c>
    </row>
    <row r="11" spans="1:18" x14ac:dyDescent="0.3">
      <c r="A11" s="298">
        <f t="shared" ref="A11:A28" si="4">A10+1</f>
        <v>3</v>
      </c>
      <c r="B11" s="3" t="s">
        <v>17</v>
      </c>
      <c r="C11" s="3" t="s">
        <v>37</v>
      </c>
      <c r="D11" s="6">
        <v>2186</v>
      </c>
      <c r="E11" s="101">
        <f t="shared" si="0"/>
        <v>3.4156249999999999</v>
      </c>
      <c r="F11" s="3">
        <v>202.3</v>
      </c>
      <c r="G11" s="8">
        <f t="shared" si="1"/>
        <v>121.38</v>
      </c>
      <c r="H11" s="285">
        <v>78</v>
      </c>
      <c r="I11" s="9">
        <v>78</v>
      </c>
      <c r="J11" s="285">
        <v>17</v>
      </c>
      <c r="K11" s="9">
        <v>17</v>
      </c>
      <c r="L11" s="285">
        <f t="shared" ref="L11:L18" si="5">J11</f>
        <v>17</v>
      </c>
      <c r="M11" s="9">
        <f t="shared" ref="M11:M18" si="6">K11</f>
        <v>17</v>
      </c>
      <c r="N11" s="290" t="s">
        <v>136</v>
      </c>
      <c r="O11" s="302">
        <f t="shared" si="2"/>
        <v>9.2078000000000007</v>
      </c>
      <c r="P11" s="304">
        <f t="shared" si="3"/>
        <v>9.2078000000000007</v>
      </c>
      <c r="Q11" s="305">
        <f t="shared" ref="Q11:Q28" si="7">O11/100+1</f>
        <v>1.0920780000000001</v>
      </c>
      <c r="R11" s="305">
        <f t="shared" ref="R11:R28" si="8">P11/100+1</f>
        <v>1.0920780000000001</v>
      </c>
    </row>
    <row r="12" spans="1:18" x14ac:dyDescent="0.3">
      <c r="A12" s="298">
        <f t="shared" si="4"/>
        <v>4</v>
      </c>
      <c r="B12" s="3" t="s">
        <v>18</v>
      </c>
      <c r="C12" s="3" t="s">
        <v>38</v>
      </c>
      <c r="D12" s="6">
        <v>2807</v>
      </c>
      <c r="E12" s="101">
        <f t="shared" si="0"/>
        <v>4.3859374999999998</v>
      </c>
      <c r="F12" s="3">
        <v>203.9</v>
      </c>
      <c r="G12" s="8">
        <f t="shared" si="1"/>
        <v>122.34</v>
      </c>
      <c r="H12" s="285">
        <v>78</v>
      </c>
      <c r="I12" s="9">
        <v>78</v>
      </c>
      <c r="J12" s="285">
        <v>11</v>
      </c>
      <c r="K12" s="9">
        <v>11</v>
      </c>
      <c r="L12" s="285">
        <f t="shared" si="5"/>
        <v>11</v>
      </c>
      <c r="M12" s="9">
        <f t="shared" si="6"/>
        <v>11</v>
      </c>
      <c r="N12" s="290" t="s">
        <v>136</v>
      </c>
      <c r="O12" s="302">
        <f t="shared" si="2"/>
        <v>9.4741999999999997</v>
      </c>
      <c r="P12" s="304">
        <f t="shared" si="3"/>
        <v>9.4741999999999997</v>
      </c>
      <c r="Q12" s="305">
        <f t="shared" si="7"/>
        <v>1.0947420000000001</v>
      </c>
      <c r="R12" s="305">
        <f t="shared" si="8"/>
        <v>1.0947420000000001</v>
      </c>
    </row>
    <row r="13" spans="1:18" x14ac:dyDescent="0.3">
      <c r="A13" s="298">
        <f t="shared" si="4"/>
        <v>5</v>
      </c>
      <c r="B13" s="3" t="s">
        <v>19</v>
      </c>
      <c r="C13" s="3" t="s">
        <v>39</v>
      </c>
      <c r="D13" s="6">
        <v>7996</v>
      </c>
      <c r="E13" s="101">
        <f t="shared" si="0"/>
        <v>12.49375</v>
      </c>
      <c r="F13" s="3">
        <v>166.2</v>
      </c>
      <c r="G13" s="8">
        <f t="shared" si="1"/>
        <v>99.719999999999985</v>
      </c>
      <c r="H13" s="285">
        <v>74</v>
      </c>
      <c r="I13" s="9">
        <v>74</v>
      </c>
      <c r="J13" s="285">
        <v>19</v>
      </c>
      <c r="K13" s="9">
        <v>19</v>
      </c>
      <c r="L13" s="285">
        <f t="shared" si="5"/>
        <v>19</v>
      </c>
      <c r="M13" s="9">
        <f t="shared" si="6"/>
        <v>19</v>
      </c>
      <c r="N13" s="290" t="s">
        <v>136</v>
      </c>
      <c r="O13" s="302">
        <f t="shared" si="2"/>
        <v>9.1221999999999994</v>
      </c>
      <c r="P13" s="304">
        <f t="shared" si="3"/>
        <v>9.1221999999999994</v>
      </c>
      <c r="Q13" s="305">
        <f t="shared" si="7"/>
        <v>1.0912219999999999</v>
      </c>
      <c r="R13" s="305">
        <f t="shared" si="8"/>
        <v>1.0912219999999999</v>
      </c>
    </row>
    <row r="14" spans="1:18" x14ac:dyDescent="0.3">
      <c r="A14" s="298">
        <f t="shared" si="4"/>
        <v>6</v>
      </c>
      <c r="B14" s="3" t="s">
        <v>20</v>
      </c>
      <c r="C14" s="3" t="s">
        <v>40</v>
      </c>
      <c r="D14" s="6">
        <v>1913</v>
      </c>
      <c r="E14" s="101">
        <f t="shared" si="0"/>
        <v>2.9890625000000002</v>
      </c>
      <c r="F14" s="3">
        <v>128</v>
      </c>
      <c r="G14" s="8">
        <f t="shared" si="1"/>
        <v>76.8</v>
      </c>
      <c r="H14" s="285">
        <v>70</v>
      </c>
      <c r="I14" s="9">
        <v>70</v>
      </c>
      <c r="J14" s="285">
        <v>5</v>
      </c>
      <c r="K14" s="9">
        <v>5</v>
      </c>
      <c r="L14" s="285">
        <f t="shared" si="5"/>
        <v>5</v>
      </c>
      <c r="M14" s="9">
        <f t="shared" si="6"/>
        <v>5</v>
      </c>
      <c r="N14" s="290" t="s">
        <v>136</v>
      </c>
      <c r="O14" s="302">
        <f t="shared" si="2"/>
        <v>9.7550000000000008</v>
      </c>
      <c r="P14" s="304">
        <f t="shared" si="3"/>
        <v>9.7550000000000008</v>
      </c>
      <c r="Q14" s="305">
        <f t="shared" si="7"/>
        <v>1.09755</v>
      </c>
      <c r="R14" s="305">
        <f t="shared" si="8"/>
        <v>1.09755</v>
      </c>
    </row>
    <row r="15" spans="1:18" x14ac:dyDescent="0.3">
      <c r="A15" s="298">
        <f t="shared" si="4"/>
        <v>7</v>
      </c>
      <c r="B15" s="3" t="s">
        <v>21</v>
      </c>
      <c r="C15" s="3" t="s">
        <v>41</v>
      </c>
      <c r="D15" s="6">
        <v>14897</v>
      </c>
      <c r="E15" s="101">
        <f t="shared" si="0"/>
        <v>23.276562500000001</v>
      </c>
      <c r="F15" s="3">
        <v>435.4</v>
      </c>
      <c r="G15" s="8">
        <f t="shared" si="1"/>
        <v>261.23999999999995</v>
      </c>
      <c r="H15" s="285">
        <v>70</v>
      </c>
      <c r="I15" s="9">
        <v>70</v>
      </c>
      <c r="J15" s="285">
        <v>14</v>
      </c>
      <c r="K15" s="9">
        <v>14</v>
      </c>
      <c r="L15" s="285">
        <f t="shared" si="5"/>
        <v>14</v>
      </c>
      <c r="M15" s="9">
        <f t="shared" si="6"/>
        <v>14</v>
      </c>
      <c r="N15" s="290" t="s">
        <v>136</v>
      </c>
      <c r="O15" s="302">
        <f t="shared" si="2"/>
        <v>9.3391999999999999</v>
      </c>
      <c r="P15" s="304">
        <f t="shared" si="3"/>
        <v>9.3391999999999999</v>
      </c>
      <c r="Q15" s="305">
        <f t="shared" si="7"/>
        <v>1.0933919999999999</v>
      </c>
      <c r="R15" s="305">
        <f t="shared" si="8"/>
        <v>1.0933919999999999</v>
      </c>
    </row>
    <row r="16" spans="1:18" x14ac:dyDescent="0.3">
      <c r="A16" s="298">
        <f t="shared" si="4"/>
        <v>8</v>
      </c>
      <c r="B16" s="3" t="s">
        <v>22</v>
      </c>
      <c r="C16" s="3" t="s">
        <v>42</v>
      </c>
      <c r="D16" s="6">
        <v>2686</v>
      </c>
      <c r="E16" s="101">
        <f t="shared" si="0"/>
        <v>4.1968750000000004</v>
      </c>
      <c r="F16" s="3">
        <v>85.9</v>
      </c>
      <c r="G16" s="8">
        <f t="shared" si="1"/>
        <v>51.54</v>
      </c>
      <c r="H16" s="285">
        <v>70</v>
      </c>
      <c r="I16" s="9">
        <v>70</v>
      </c>
      <c r="J16" s="285">
        <v>11</v>
      </c>
      <c r="K16" s="9">
        <v>11</v>
      </c>
      <c r="L16" s="285">
        <f t="shared" si="5"/>
        <v>11</v>
      </c>
      <c r="M16" s="9">
        <f t="shared" si="6"/>
        <v>11</v>
      </c>
      <c r="N16" s="290" t="s">
        <v>136</v>
      </c>
      <c r="O16" s="302">
        <f t="shared" si="2"/>
        <v>9.4741999999999997</v>
      </c>
      <c r="P16" s="304">
        <f t="shared" si="3"/>
        <v>9.4741999999999997</v>
      </c>
      <c r="Q16" s="305">
        <f t="shared" si="7"/>
        <v>1.0947420000000001</v>
      </c>
      <c r="R16" s="305">
        <f t="shared" si="8"/>
        <v>1.0947420000000001</v>
      </c>
    </row>
    <row r="17" spans="1:18" x14ac:dyDescent="0.3">
      <c r="A17" s="298">
        <f t="shared" si="4"/>
        <v>9</v>
      </c>
      <c r="B17" s="3" t="s">
        <v>23</v>
      </c>
      <c r="C17" s="3" t="s">
        <v>43</v>
      </c>
      <c r="D17" s="6">
        <v>2147</v>
      </c>
      <c r="E17" s="101">
        <f t="shared" si="0"/>
        <v>3.3546874999999998</v>
      </c>
      <c r="F17" s="3">
        <v>96.9</v>
      </c>
      <c r="G17" s="8">
        <f t="shared" si="1"/>
        <v>58.14</v>
      </c>
      <c r="H17" s="285">
        <v>70</v>
      </c>
      <c r="I17" s="9">
        <v>70</v>
      </c>
      <c r="J17" s="285">
        <v>4</v>
      </c>
      <c r="K17" s="9">
        <v>4</v>
      </c>
      <c r="L17" s="285">
        <f t="shared" si="5"/>
        <v>4</v>
      </c>
      <c r="M17" s="9">
        <f t="shared" si="6"/>
        <v>4</v>
      </c>
      <c r="N17" s="290" t="s">
        <v>136</v>
      </c>
      <c r="O17" s="302">
        <f t="shared" si="2"/>
        <v>9.8032000000000004</v>
      </c>
      <c r="P17" s="304">
        <f t="shared" si="3"/>
        <v>9.8032000000000004</v>
      </c>
      <c r="Q17" s="305">
        <f t="shared" si="7"/>
        <v>1.0980319999999999</v>
      </c>
      <c r="R17" s="305">
        <f t="shared" si="8"/>
        <v>1.0980319999999999</v>
      </c>
    </row>
    <row r="18" spans="1:18" x14ac:dyDescent="0.3">
      <c r="A18" s="362">
        <f t="shared" si="4"/>
        <v>10</v>
      </c>
      <c r="B18" s="363" t="s">
        <v>24</v>
      </c>
      <c r="C18" s="363" t="s">
        <v>232</v>
      </c>
      <c r="D18" s="364">
        <v>4793</v>
      </c>
      <c r="E18" s="365">
        <f t="shared" si="0"/>
        <v>7.4890625000000002</v>
      </c>
      <c r="F18" s="363">
        <v>72.3</v>
      </c>
      <c r="G18" s="366">
        <f t="shared" si="1"/>
        <v>43.379999999999995</v>
      </c>
      <c r="H18" s="286">
        <v>70</v>
      </c>
      <c r="I18" s="303">
        <v>70</v>
      </c>
      <c r="J18" s="286">
        <v>8</v>
      </c>
      <c r="K18" s="303">
        <v>8</v>
      </c>
      <c r="L18" s="286">
        <f t="shared" si="5"/>
        <v>8</v>
      </c>
      <c r="M18" s="303">
        <f t="shared" si="6"/>
        <v>8</v>
      </c>
      <c r="N18" s="291" t="s">
        <v>136</v>
      </c>
      <c r="O18" s="367">
        <f t="shared" si="2"/>
        <v>9.6128</v>
      </c>
      <c r="P18" s="368">
        <f t="shared" si="3"/>
        <v>9.6128</v>
      </c>
      <c r="Q18" s="369">
        <f t="shared" si="7"/>
        <v>1.096128</v>
      </c>
      <c r="R18" s="369">
        <f t="shared" si="8"/>
        <v>1.096128</v>
      </c>
    </row>
    <row r="19" spans="1:18" x14ac:dyDescent="0.3">
      <c r="A19" s="298">
        <f t="shared" si="4"/>
        <v>11</v>
      </c>
      <c r="B19" s="3" t="s">
        <v>25</v>
      </c>
      <c r="C19" s="3" t="s">
        <v>45</v>
      </c>
      <c r="D19" s="6">
        <v>2657</v>
      </c>
      <c r="E19" s="101">
        <f t="shared" si="0"/>
        <v>4.1515624999999998</v>
      </c>
      <c r="F19" s="3">
        <v>109.4</v>
      </c>
      <c r="G19" s="8">
        <f t="shared" si="1"/>
        <v>65.64</v>
      </c>
      <c r="H19" s="285">
        <v>72</v>
      </c>
      <c r="I19" s="9">
        <v>72</v>
      </c>
      <c r="J19" s="285">
        <v>17</v>
      </c>
      <c r="K19" s="9">
        <v>20.399999999999999</v>
      </c>
      <c r="L19" s="285">
        <v>17</v>
      </c>
      <c r="M19" s="9">
        <v>22.5</v>
      </c>
      <c r="N19" s="290" t="s">
        <v>15</v>
      </c>
      <c r="O19" s="302">
        <f t="shared" ref="O19:O20" si="9">0.0002*L19^2-0.05*L19+10</f>
        <v>9.2078000000000007</v>
      </c>
      <c r="P19" s="304">
        <f t="shared" ref="P19:P20" si="10">0.0002*M19^2-0.05*M19+10</f>
        <v>8.9762500000000003</v>
      </c>
      <c r="Q19" s="305">
        <f t="shared" si="7"/>
        <v>1.0920780000000001</v>
      </c>
      <c r="R19" s="305">
        <f t="shared" si="8"/>
        <v>1.0897625</v>
      </c>
    </row>
    <row r="20" spans="1:18" x14ac:dyDescent="0.3">
      <c r="A20" s="298">
        <v>12</v>
      </c>
      <c r="B20" s="3" t="s">
        <v>26</v>
      </c>
      <c r="C20" s="3" t="s">
        <v>46</v>
      </c>
      <c r="D20" s="6">
        <v>2171</v>
      </c>
      <c r="E20" s="101">
        <f t="shared" si="0"/>
        <v>3.3921874999999999</v>
      </c>
      <c r="F20" s="3">
        <v>104.2</v>
      </c>
      <c r="G20" s="8">
        <f t="shared" si="1"/>
        <v>62.519999999999996</v>
      </c>
      <c r="H20" s="285">
        <v>72</v>
      </c>
      <c r="I20" s="9">
        <v>72</v>
      </c>
      <c r="J20" s="285">
        <v>34.799999999999997</v>
      </c>
      <c r="K20" s="9">
        <v>34.799999999999997</v>
      </c>
      <c r="L20" s="285">
        <v>57</v>
      </c>
      <c r="M20" s="9">
        <v>57</v>
      </c>
      <c r="N20" s="290" t="s">
        <v>15</v>
      </c>
      <c r="O20" s="302">
        <f t="shared" si="9"/>
        <v>7.7997999999999994</v>
      </c>
      <c r="P20" s="304">
        <f t="shared" si="10"/>
        <v>7.7997999999999994</v>
      </c>
      <c r="Q20" s="305">
        <f t="shared" si="7"/>
        <v>1.077998</v>
      </c>
      <c r="R20" s="305">
        <f t="shared" si="8"/>
        <v>1.077998</v>
      </c>
    </row>
    <row r="21" spans="1:18" x14ac:dyDescent="0.3">
      <c r="A21" s="298">
        <f t="shared" si="4"/>
        <v>13</v>
      </c>
      <c r="B21" s="3" t="s">
        <v>27</v>
      </c>
      <c r="C21" s="3" t="s">
        <v>47</v>
      </c>
      <c r="D21" s="6">
        <v>1077</v>
      </c>
      <c r="E21" s="101">
        <f t="shared" si="0"/>
        <v>1.6828125</v>
      </c>
      <c r="F21" s="3">
        <v>52.7</v>
      </c>
      <c r="G21" s="8">
        <f t="shared" si="1"/>
        <v>31.62</v>
      </c>
      <c r="H21" s="285">
        <v>72</v>
      </c>
      <c r="I21" s="9">
        <v>72</v>
      </c>
      <c r="J21" s="285">
        <v>45.6</v>
      </c>
      <c r="K21" s="9">
        <v>45.6</v>
      </c>
      <c r="L21" s="285">
        <v>80</v>
      </c>
      <c r="M21" s="9">
        <v>80</v>
      </c>
      <c r="N21" s="290" t="s">
        <v>15</v>
      </c>
      <c r="O21" s="302">
        <f>0.0004*L21^2-0.14*L21+17</f>
        <v>8.36</v>
      </c>
      <c r="P21" s="304">
        <f>0.0004*M21^2-0.14*M21+17</f>
        <v>8.36</v>
      </c>
      <c r="Q21" s="305">
        <f t="shared" si="7"/>
        <v>1.0835999999999999</v>
      </c>
      <c r="R21" s="305">
        <f t="shared" si="8"/>
        <v>1.0835999999999999</v>
      </c>
    </row>
    <row r="22" spans="1:18" x14ac:dyDescent="0.3">
      <c r="A22" s="298">
        <f t="shared" si="4"/>
        <v>14</v>
      </c>
      <c r="B22" s="3" t="s">
        <v>28</v>
      </c>
      <c r="C22" s="3" t="s">
        <v>68</v>
      </c>
      <c r="D22" s="6">
        <v>2667</v>
      </c>
      <c r="E22" s="101">
        <f t="shared" si="0"/>
        <v>4.1671874999999998</v>
      </c>
      <c r="F22" s="3">
        <v>131.5</v>
      </c>
      <c r="G22" s="8">
        <f t="shared" si="1"/>
        <v>78.899999999999991</v>
      </c>
      <c r="H22" s="285">
        <v>72</v>
      </c>
      <c r="I22" s="9">
        <v>72</v>
      </c>
      <c r="J22" s="285">
        <v>27</v>
      </c>
      <c r="K22" s="9">
        <v>29.2</v>
      </c>
      <c r="L22" s="285">
        <v>48</v>
      </c>
      <c r="M22" s="9">
        <v>50.9</v>
      </c>
      <c r="N22" s="290" t="s">
        <v>15</v>
      </c>
      <c r="O22" s="302">
        <f t="shared" ref="O22:O28" si="11">0.0004*L22^2-0.14*L22+17</f>
        <v>11.201599999999999</v>
      </c>
      <c r="P22" s="304">
        <f t="shared" ref="P22:P28" si="12">0.0004*M22^2-0.14*M22+17</f>
        <v>10.910323999999999</v>
      </c>
      <c r="Q22" s="305">
        <f t="shared" si="7"/>
        <v>1.1120159999999999</v>
      </c>
      <c r="R22" s="305">
        <f t="shared" si="8"/>
        <v>1.10910324</v>
      </c>
    </row>
    <row r="23" spans="1:18" x14ac:dyDescent="0.3">
      <c r="A23" s="298">
        <v>15</v>
      </c>
      <c r="B23" s="3" t="s">
        <v>29</v>
      </c>
      <c r="C23" s="3" t="s">
        <v>48</v>
      </c>
      <c r="D23" s="6">
        <v>1028</v>
      </c>
      <c r="E23" s="101">
        <f t="shared" si="0"/>
        <v>1.60625</v>
      </c>
      <c r="F23" s="3">
        <v>131.9</v>
      </c>
      <c r="G23" s="8">
        <f t="shared" si="1"/>
        <v>79.14</v>
      </c>
      <c r="H23" s="285">
        <v>72</v>
      </c>
      <c r="I23" s="9">
        <v>72</v>
      </c>
      <c r="J23" s="285">
        <v>4</v>
      </c>
      <c r="K23" s="9">
        <v>4</v>
      </c>
      <c r="L23" s="285">
        <v>5</v>
      </c>
      <c r="M23" s="9">
        <v>5</v>
      </c>
      <c r="N23" s="290" t="s">
        <v>15</v>
      </c>
      <c r="O23" s="302">
        <f t="shared" si="11"/>
        <v>16.309999999999999</v>
      </c>
      <c r="P23" s="304">
        <f t="shared" si="12"/>
        <v>16.309999999999999</v>
      </c>
      <c r="Q23" s="305">
        <f t="shared" si="7"/>
        <v>1.1631</v>
      </c>
      <c r="R23" s="305">
        <f t="shared" si="8"/>
        <v>1.1631</v>
      </c>
    </row>
    <row r="24" spans="1:18" x14ac:dyDescent="0.3">
      <c r="A24" s="298">
        <f>A23+1</f>
        <v>16</v>
      </c>
      <c r="B24" s="3" t="s">
        <v>30</v>
      </c>
      <c r="C24" s="3" t="s">
        <v>49</v>
      </c>
      <c r="D24" s="6">
        <v>16285</v>
      </c>
      <c r="E24" s="101">
        <f t="shared" si="0"/>
        <v>25.4453125</v>
      </c>
      <c r="F24" s="3">
        <v>296.8</v>
      </c>
      <c r="G24" s="8">
        <f t="shared" si="1"/>
        <v>178.08</v>
      </c>
      <c r="H24" s="285">
        <v>70</v>
      </c>
      <c r="I24" s="9">
        <v>70</v>
      </c>
      <c r="J24" s="285">
        <v>25</v>
      </c>
      <c r="K24" s="9">
        <v>25</v>
      </c>
      <c r="L24" s="285">
        <v>1</v>
      </c>
      <c r="M24" s="9">
        <v>1</v>
      </c>
      <c r="N24" s="290" t="s">
        <v>15</v>
      </c>
      <c r="O24" s="302">
        <f t="shared" si="11"/>
        <v>16.860399999999998</v>
      </c>
      <c r="P24" s="304">
        <f t="shared" si="12"/>
        <v>16.860399999999998</v>
      </c>
      <c r="Q24" s="305">
        <f t="shared" si="7"/>
        <v>1.168604</v>
      </c>
      <c r="R24" s="305">
        <f t="shared" si="8"/>
        <v>1.168604</v>
      </c>
    </row>
    <row r="25" spans="1:18" x14ac:dyDescent="0.3">
      <c r="A25" s="298">
        <f t="shared" si="4"/>
        <v>17</v>
      </c>
      <c r="B25" s="3" t="s">
        <v>31</v>
      </c>
      <c r="C25" s="3" t="s">
        <v>69</v>
      </c>
      <c r="D25" s="6">
        <v>6420</v>
      </c>
      <c r="E25" s="101">
        <f t="shared" si="0"/>
        <v>10.03125</v>
      </c>
      <c r="F25" s="3">
        <v>218.4</v>
      </c>
      <c r="G25" s="8">
        <f t="shared" si="1"/>
        <v>131.04</v>
      </c>
      <c r="H25" s="285">
        <v>72</v>
      </c>
      <c r="I25" s="9">
        <v>72</v>
      </c>
      <c r="J25" s="285">
        <v>4.9000000000000004</v>
      </c>
      <c r="K25" s="9">
        <v>4.9000000000000004</v>
      </c>
      <c r="L25" s="285">
        <v>10</v>
      </c>
      <c r="M25" s="9">
        <v>10</v>
      </c>
      <c r="N25" s="290" t="s">
        <v>15</v>
      </c>
      <c r="O25" s="302">
        <f t="shared" si="11"/>
        <v>15.64</v>
      </c>
      <c r="P25" s="304">
        <f t="shared" si="12"/>
        <v>15.64</v>
      </c>
      <c r="Q25" s="305">
        <f t="shared" si="7"/>
        <v>1.1564000000000001</v>
      </c>
      <c r="R25" s="305">
        <f t="shared" si="8"/>
        <v>1.1564000000000001</v>
      </c>
    </row>
    <row r="26" spans="1:18" x14ac:dyDescent="0.3">
      <c r="A26" s="290">
        <f t="shared" si="4"/>
        <v>18</v>
      </c>
      <c r="B26" s="370" t="s">
        <v>32</v>
      </c>
      <c r="C26" s="370" t="s">
        <v>70</v>
      </c>
      <c r="D26" s="371">
        <v>5995</v>
      </c>
      <c r="E26" s="372">
        <f t="shared" si="0"/>
        <v>9.3671875</v>
      </c>
      <c r="F26" s="3">
        <v>268.7</v>
      </c>
      <c r="G26" s="8">
        <v>123</v>
      </c>
      <c r="H26" s="285">
        <v>86</v>
      </c>
      <c r="I26" s="9">
        <v>86</v>
      </c>
      <c r="J26" s="285">
        <v>22.5</v>
      </c>
      <c r="K26" s="9">
        <v>22.5</v>
      </c>
      <c r="L26" s="285">
        <v>25</v>
      </c>
      <c r="M26" s="9">
        <v>25</v>
      </c>
      <c r="N26" s="290" t="s">
        <v>15</v>
      </c>
      <c r="O26" s="302">
        <f t="shared" si="11"/>
        <v>13.75</v>
      </c>
      <c r="P26" s="304">
        <f t="shared" si="12"/>
        <v>13.75</v>
      </c>
      <c r="Q26" s="305">
        <f t="shared" si="7"/>
        <v>1.1375</v>
      </c>
      <c r="R26" s="305">
        <f t="shared" si="8"/>
        <v>1.1375</v>
      </c>
    </row>
    <row r="27" spans="1:18" x14ac:dyDescent="0.3">
      <c r="A27" s="298">
        <f t="shared" si="4"/>
        <v>19</v>
      </c>
      <c r="B27" s="3" t="s">
        <v>33</v>
      </c>
      <c r="C27" s="3" t="s">
        <v>50</v>
      </c>
      <c r="D27" s="6">
        <v>1798</v>
      </c>
      <c r="E27" s="101">
        <f t="shared" si="0"/>
        <v>2.8093750000000002</v>
      </c>
      <c r="F27" s="3">
        <v>110.7</v>
      </c>
      <c r="G27" s="8">
        <f t="shared" si="1"/>
        <v>66.42</v>
      </c>
      <c r="H27" s="285">
        <v>86</v>
      </c>
      <c r="I27" s="9">
        <v>86</v>
      </c>
      <c r="J27" s="285">
        <v>16.2</v>
      </c>
      <c r="K27" s="9">
        <v>24.5</v>
      </c>
      <c r="L27" s="285">
        <v>18</v>
      </c>
      <c r="M27" s="9">
        <v>23.9</v>
      </c>
      <c r="N27" s="290" t="s">
        <v>15</v>
      </c>
      <c r="O27" s="302">
        <f t="shared" si="11"/>
        <v>14.6096</v>
      </c>
      <c r="P27" s="304">
        <f t="shared" si="12"/>
        <v>13.882484</v>
      </c>
      <c r="Q27" s="305">
        <f t="shared" si="7"/>
        <v>1.146096</v>
      </c>
      <c r="R27" s="305">
        <f t="shared" si="8"/>
        <v>1.1388248400000001</v>
      </c>
    </row>
    <row r="28" spans="1:18" x14ac:dyDescent="0.3">
      <c r="A28" s="298">
        <f t="shared" si="4"/>
        <v>20</v>
      </c>
      <c r="B28" s="57" t="s">
        <v>34</v>
      </c>
      <c r="C28" s="57" t="s">
        <v>51</v>
      </c>
      <c r="D28" s="58">
        <v>1012</v>
      </c>
      <c r="E28" s="103">
        <f t="shared" si="0"/>
        <v>1.58125</v>
      </c>
      <c r="F28" s="57">
        <v>62.9</v>
      </c>
      <c r="G28" s="59">
        <f t="shared" si="1"/>
        <v>37.739999999999995</v>
      </c>
      <c r="H28" s="285">
        <v>86</v>
      </c>
      <c r="I28" s="61">
        <v>86</v>
      </c>
      <c r="J28" s="285">
        <v>3.7</v>
      </c>
      <c r="K28" s="61">
        <v>52.5</v>
      </c>
      <c r="L28" s="285">
        <v>5</v>
      </c>
      <c r="M28" s="61">
        <v>31.7</v>
      </c>
      <c r="N28" s="290" t="s">
        <v>15</v>
      </c>
      <c r="O28" s="302">
        <f t="shared" si="11"/>
        <v>16.309999999999999</v>
      </c>
      <c r="P28" s="304">
        <f t="shared" si="12"/>
        <v>12.963956</v>
      </c>
      <c r="Q28" s="369">
        <f t="shared" si="7"/>
        <v>1.1631</v>
      </c>
      <c r="R28" s="369">
        <f t="shared" si="8"/>
        <v>1.12963956</v>
      </c>
    </row>
    <row r="29" spans="1:18" x14ac:dyDescent="0.3">
      <c r="A29" s="296"/>
      <c r="B29" s="40"/>
      <c r="C29" s="64" t="s">
        <v>52</v>
      </c>
      <c r="D29" s="41">
        <f>SUM(D9:D28)</f>
        <v>87500</v>
      </c>
      <c r="E29" s="387">
        <f>SUM(E9:E28)</f>
        <v>136.71875</v>
      </c>
      <c r="F29" s="40"/>
      <c r="G29" s="42"/>
      <c r="H29" s="40"/>
      <c r="I29" s="40"/>
      <c r="J29" s="40"/>
      <c r="K29" s="40"/>
      <c r="L29" s="40"/>
      <c r="M29" s="40"/>
      <c r="N29" s="40"/>
      <c r="O29" s="42"/>
      <c r="P29" s="295"/>
      <c r="Q29" s="389"/>
      <c r="R29" s="389"/>
    </row>
    <row r="30" spans="1:18" ht="9" customHeight="1" x14ac:dyDescent="0.3">
      <c r="A30" s="453" t="s">
        <v>230</v>
      </c>
      <c r="B30" s="454"/>
      <c r="C30" s="454"/>
      <c r="D30" s="454"/>
      <c r="E30" s="454"/>
      <c r="F30" s="454"/>
      <c r="G30" s="454"/>
      <c r="H30" s="454"/>
      <c r="I30" s="454"/>
      <c r="J30" s="454"/>
      <c r="K30" s="454"/>
      <c r="L30" s="454"/>
      <c r="M30" s="454"/>
      <c r="N30" s="454"/>
      <c r="O30" s="454"/>
      <c r="P30" s="454"/>
      <c r="Q30" s="388"/>
      <c r="R30" s="388"/>
    </row>
    <row r="31" spans="1:18" ht="13.5" customHeight="1" x14ac:dyDescent="0.3">
      <c r="A31" s="454"/>
      <c r="B31" s="454"/>
      <c r="C31" s="454"/>
      <c r="D31" s="454"/>
      <c r="E31" s="454"/>
      <c r="F31" s="454"/>
      <c r="G31" s="454"/>
      <c r="H31" s="454"/>
      <c r="I31" s="454"/>
      <c r="J31" s="454"/>
      <c r="K31" s="454"/>
      <c r="L31" s="454"/>
      <c r="M31" s="454"/>
      <c r="N31" s="454"/>
      <c r="O31" s="454"/>
      <c r="P31" s="454"/>
      <c r="Q31" s="388"/>
      <c r="R31" s="388"/>
    </row>
    <row r="32" spans="1:18" ht="13.5" customHeight="1" x14ac:dyDescent="0.3">
      <c r="A32" s="454"/>
      <c r="B32" s="454"/>
      <c r="C32" s="454"/>
      <c r="D32" s="454"/>
      <c r="E32" s="454"/>
      <c r="F32" s="454"/>
      <c r="G32" s="454"/>
      <c r="H32" s="454"/>
      <c r="I32" s="454"/>
      <c r="J32" s="454"/>
      <c r="K32" s="454"/>
      <c r="L32" s="454"/>
      <c r="M32" s="454"/>
      <c r="N32" s="454"/>
      <c r="O32" s="454"/>
      <c r="P32" s="454"/>
      <c r="Q32" s="388"/>
      <c r="R32" s="388"/>
    </row>
    <row r="33" spans="1:18" ht="23.25" customHeight="1" x14ac:dyDescent="0.3">
      <c r="A33" s="453" t="s">
        <v>235</v>
      </c>
      <c r="B33" s="444"/>
      <c r="C33" s="444"/>
      <c r="D33" s="444"/>
      <c r="E33" s="444"/>
      <c r="F33" s="444"/>
      <c r="G33" s="444"/>
      <c r="H33" s="444"/>
      <c r="I33" s="444"/>
      <c r="J33" s="444"/>
      <c r="K33" s="444"/>
      <c r="L33" s="444"/>
      <c r="M33" s="444"/>
      <c r="N33" s="444"/>
      <c r="O33" s="444"/>
      <c r="P33" s="444"/>
      <c r="Q33" s="388"/>
      <c r="R33" s="388"/>
    </row>
    <row r="34" spans="1:18" ht="23.25" customHeight="1" x14ac:dyDescent="0.3">
      <c r="A34" s="444"/>
      <c r="B34" s="444"/>
      <c r="C34" s="444"/>
      <c r="D34" s="444"/>
      <c r="E34" s="444"/>
      <c r="F34" s="444"/>
      <c r="G34" s="444"/>
      <c r="H34" s="444"/>
      <c r="I34" s="444"/>
      <c r="J34" s="444"/>
      <c r="K34" s="444"/>
      <c r="L34" s="444"/>
      <c r="M34" s="444"/>
      <c r="N34" s="444"/>
      <c r="O34" s="444"/>
      <c r="P34" s="444"/>
      <c r="Q34" s="388"/>
      <c r="R34" s="388"/>
    </row>
    <row r="35" spans="1:18" ht="15" customHeight="1" x14ac:dyDescent="0.3">
      <c r="A35" s="453" t="s">
        <v>231</v>
      </c>
      <c r="B35" s="444"/>
      <c r="C35" s="444"/>
      <c r="D35" s="444"/>
      <c r="E35" s="444"/>
      <c r="F35" s="444"/>
      <c r="G35" s="444"/>
      <c r="H35" s="444"/>
      <c r="I35" s="444"/>
      <c r="J35" s="444"/>
      <c r="K35" s="444"/>
      <c r="L35" s="444"/>
      <c r="M35" s="444"/>
      <c r="N35" s="444"/>
      <c r="O35" s="444"/>
      <c r="P35" s="444"/>
      <c r="Q35" s="388"/>
      <c r="R35" s="388"/>
    </row>
    <row r="36" spans="1:18" ht="15" customHeight="1" x14ac:dyDescent="0.3">
      <c r="A36" s="444"/>
      <c r="B36" s="444"/>
      <c r="C36" s="444"/>
      <c r="D36" s="444"/>
      <c r="E36" s="444"/>
      <c r="F36" s="444"/>
      <c r="G36" s="444"/>
      <c r="H36" s="444"/>
      <c r="I36" s="444"/>
      <c r="J36" s="444"/>
      <c r="K36" s="444"/>
      <c r="L36" s="444"/>
      <c r="M36" s="444"/>
      <c r="N36" s="444"/>
      <c r="O36" s="444"/>
      <c r="P36" s="444"/>
      <c r="Q36" s="388"/>
      <c r="R36" s="388"/>
    </row>
    <row r="37" spans="1:18" ht="15.75" customHeight="1" x14ac:dyDescent="0.3">
      <c r="A37" s="32" t="s">
        <v>233</v>
      </c>
      <c r="B37" s="32"/>
      <c r="C37" s="32"/>
      <c r="D37" s="32"/>
      <c r="E37" s="390"/>
      <c r="F37" s="32"/>
      <c r="G37" s="32"/>
      <c r="H37" s="32"/>
      <c r="I37" s="32"/>
      <c r="J37" s="32"/>
      <c r="K37" s="32"/>
      <c r="L37" s="32"/>
      <c r="M37" s="32"/>
      <c r="N37" s="32"/>
      <c r="O37" s="32"/>
      <c r="P37" s="32"/>
      <c r="Q37" s="388"/>
      <c r="R37" s="388"/>
    </row>
    <row r="38" spans="1:18" ht="15.75" customHeight="1" x14ac:dyDescent="0.3">
      <c r="A38" s="32" t="s">
        <v>236</v>
      </c>
      <c r="B38" s="32"/>
      <c r="C38" s="32"/>
      <c r="D38" s="32"/>
      <c r="E38" s="390"/>
      <c r="F38" s="32"/>
      <c r="G38" s="32"/>
      <c r="H38" s="32"/>
      <c r="I38" s="32"/>
      <c r="J38" s="32"/>
      <c r="K38" s="32"/>
      <c r="L38" s="32"/>
      <c r="M38" s="32"/>
      <c r="N38" s="32"/>
      <c r="O38" s="32"/>
      <c r="P38" s="32"/>
      <c r="Q38" s="388"/>
      <c r="R38" s="388"/>
    </row>
    <row r="39" spans="1:18" ht="15.75" customHeight="1" x14ac:dyDescent="0.3">
      <c r="A39" s="32" t="s">
        <v>234</v>
      </c>
      <c r="B39" s="32"/>
      <c r="C39" s="32"/>
      <c r="D39" s="32"/>
      <c r="E39" s="390"/>
      <c r="F39" s="32"/>
      <c r="G39" s="32"/>
      <c r="H39" s="32"/>
      <c r="I39" s="32"/>
      <c r="J39" s="32"/>
      <c r="K39" s="32"/>
      <c r="L39" s="32"/>
      <c r="M39" s="32"/>
      <c r="N39" s="32"/>
      <c r="O39" s="32"/>
      <c r="P39" s="32"/>
      <c r="Q39" s="388"/>
      <c r="R39" s="388"/>
    </row>
    <row r="40" spans="1:18" ht="18" customHeight="1" x14ac:dyDescent="0.3">
      <c r="A40" s="32" t="s">
        <v>237</v>
      </c>
      <c r="B40" s="32"/>
      <c r="C40" s="32"/>
      <c r="D40" s="32"/>
      <c r="E40" s="390"/>
      <c r="F40" s="32"/>
      <c r="G40" s="32"/>
      <c r="H40" s="32"/>
      <c r="I40" s="32"/>
      <c r="J40" s="32"/>
      <c r="K40" s="32"/>
      <c r="L40" s="32"/>
      <c r="M40" s="32"/>
      <c r="N40" s="32"/>
      <c r="O40" s="32"/>
      <c r="P40" s="32"/>
      <c r="Q40" s="388"/>
      <c r="R40" s="388"/>
    </row>
    <row r="41" spans="1:18" x14ac:dyDescent="0.3">
      <c r="A41" s="453" t="s">
        <v>227</v>
      </c>
      <c r="B41" s="453"/>
      <c r="C41" s="453"/>
      <c r="D41" s="453"/>
      <c r="E41" s="453"/>
      <c r="F41" s="453"/>
      <c r="G41" s="453"/>
      <c r="H41" s="453"/>
      <c r="I41" s="453"/>
      <c r="J41" s="453"/>
      <c r="K41" s="453"/>
      <c r="L41" s="453"/>
      <c r="M41" s="453"/>
      <c r="N41" s="453"/>
      <c r="O41" s="453"/>
      <c r="P41" s="453"/>
      <c r="Q41" s="388"/>
      <c r="R41" s="388"/>
    </row>
    <row r="42" spans="1:18" x14ac:dyDescent="0.3">
      <c r="A42" s="453"/>
      <c r="B42" s="453"/>
      <c r="C42" s="453"/>
      <c r="D42" s="453"/>
      <c r="E42" s="453"/>
      <c r="F42" s="453"/>
      <c r="G42" s="453"/>
      <c r="H42" s="453"/>
      <c r="I42" s="453"/>
      <c r="J42" s="453"/>
      <c r="K42" s="453"/>
      <c r="L42" s="453"/>
      <c r="M42" s="453"/>
      <c r="N42" s="453"/>
      <c r="O42" s="453"/>
      <c r="P42" s="453"/>
      <c r="Q42" s="388"/>
      <c r="R42" s="388"/>
    </row>
    <row r="43" spans="1:18" ht="25.5" x14ac:dyDescent="0.3">
      <c r="A43" s="34"/>
      <c r="B43" s="34"/>
      <c r="C43" s="53" t="s">
        <v>60</v>
      </c>
      <c r="D43" s="35" t="s">
        <v>65</v>
      </c>
      <c r="E43" s="108" t="s">
        <v>9</v>
      </c>
      <c r="F43" s="34"/>
      <c r="G43" s="36"/>
      <c r="H43" s="34"/>
      <c r="I43" s="34"/>
      <c r="J43" s="34"/>
      <c r="K43" s="34"/>
      <c r="L43" s="34"/>
      <c r="M43" s="34"/>
      <c r="N43" s="34"/>
      <c r="O43" s="36"/>
      <c r="P43" s="36"/>
      <c r="Q43" s="388"/>
      <c r="R43" s="388"/>
    </row>
    <row r="44" spans="1:18" x14ac:dyDescent="0.3">
      <c r="A44" s="34"/>
      <c r="B44" s="34"/>
      <c r="C44" s="37" t="s">
        <v>13</v>
      </c>
      <c r="D44" s="38" t="s">
        <v>12</v>
      </c>
      <c r="E44" s="109" t="s">
        <v>12</v>
      </c>
      <c r="F44" s="34"/>
      <c r="G44" s="36"/>
      <c r="H44" s="34"/>
      <c r="I44" s="34"/>
      <c r="J44" s="34"/>
      <c r="K44" s="34"/>
      <c r="L44" s="34"/>
      <c r="M44" s="34"/>
      <c r="N44" s="34"/>
      <c r="O44" s="36"/>
      <c r="P44" s="36"/>
      <c r="Q44" s="388"/>
      <c r="R44" s="388"/>
    </row>
    <row r="45" spans="1:18" x14ac:dyDescent="0.3">
      <c r="A45" s="34"/>
      <c r="B45" s="34"/>
      <c r="C45" s="50" t="s">
        <v>81</v>
      </c>
      <c r="D45" s="39">
        <v>0</v>
      </c>
      <c r="E45" s="110">
        <v>17</v>
      </c>
      <c r="F45" s="34"/>
      <c r="G45" s="36"/>
      <c r="H45" s="34"/>
      <c r="I45" s="34"/>
      <c r="J45" s="34"/>
      <c r="K45" s="34"/>
      <c r="L45" s="34"/>
      <c r="M45" s="34"/>
      <c r="N45" s="34"/>
      <c r="O45" s="36"/>
      <c r="P45" s="36"/>
      <c r="Q45" s="388"/>
      <c r="R45" s="388"/>
    </row>
    <row r="46" spans="1:18" x14ac:dyDescent="0.3">
      <c r="A46" s="34"/>
      <c r="B46" s="34"/>
      <c r="C46" s="50" t="s">
        <v>82</v>
      </c>
      <c r="D46" s="39">
        <v>50</v>
      </c>
      <c r="E46" s="110">
        <v>11</v>
      </c>
      <c r="F46" s="34"/>
      <c r="G46" s="36"/>
      <c r="H46" s="34"/>
      <c r="I46" s="34"/>
      <c r="J46" s="34"/>
      <c r="K46" s="34"/>
      <c r="L46" s="34"/>
      <c r="M46" s="34"/>
      <c r="N46" s="34"/>
      <c r="O46" s="36"/>
      <c r="P46" s="36"/>
      <c r="Q46" s="388"/>
      <c r="R46" s="388"/>
    </row>
    <row r="47" spans="1:18" x14ac:dyDescent="0.3">
      <c r="A47" s="34"/>
      <c r="B47" s="34"/>
      <c r="C47" s="51" t="s">
        <v>83</v>
      </c>
      <c r="D47" s="38">
        <v>100</v>
      </c>
      <c r="E47" s="109">
        <v>7</v>
      </c>
      <c r="F47" s="34"/>
      <c r="G47" s="36"/>
      <c r="H47" s="34"/>
      <c r="I47" s="34"/>
      <c r="J47" s="34"/>
      <c r="K47" s="34"/>
      <c r="L47" s="34"/>
      <c r="M47" s="34"/>
      <c r="N47" s="34"/>
      <c r="O47" s="36"/>
      <c r="P47" s="36"/>
      <c r="Q47" s="388"/>
      <c r="R47" s="388"/>
    </row>
    <row r="48" spans="1:18" x14ac:dyDescent="0.3">
      <c r="A48" s="34"/>
      <c r="B48" s="34"/>
      <c r="C48" s="50" t="s">
        <v>84</v>
      </c>
      <c r="D48" s="39">
        <v>0</v>
      </c>
      <c r="E48" s="110">
        <v>10</v>
      </c>
      <c r="F48" s="34" t="s">
        <v>91</v>
      </c>
      <c r="G48" s="36"/>
      <c r="H48" s="34"/>
      <c r="I48" s="34"/>
      <c r="J48" s="34"/>
      <c r="K48" s="34"/>
      <c r="L48" s="34"/>
      <c r="M48" s="34"/>
      <c r="N48" s="34"/>
      <c r="O48" s="36"/>
      <c r="P48" s="36"/>
      <c r="Q48" s="388"/>
      <c r="R48" s="388"/>
    </row>
    <row r="49" spans="1:18" x14ac:dyDescent="0.3">
      <c r="A49" s="34"/>
      <c r="B49" s="34"/>
      <c r="C49" s="50" t="s">
        <v>85</v>
      </c>
      <c r="D49" s="39">
        <v>50</v>
      </c>
      <c r="E49" s="110">
        <v>8</v>
      </c>
      <c r="F49" s="34"/>
      <c r="G49" s="36"/>
      <c r="H49" s="34"/>
      <c r="I49" s="34"/>
      <c r="J49" s="34"/>
      <c r="K49" s="34"/>
      <c r="L49" s="34"/>
      <c r="M49" s="34"/>
      <c r="N49" s="34"/>
      <c r="O49" s="36"/>
      <c r="P49" s="36"/>
      <c r="Q49" s="388"/>
      <c r="R49" s="388"/>
    </row>
    <row r="50" spans="1:18" x14ac:dyDescent="0.3">
      <c r="A50" s="34"/>
      <c r="B50" s="34"/>
      <c r="C50" s="51" t="s">
        <v>86</v>
      </c>
      <c r="D50" s="38">
        <v>100</v>
      </c>
      <c r="E50" s="109">
        <v>7</v>
      </c>
      <c r="F50" s="34"/>
      <c r="G50" s="36"/>
      <c r="H50" s="34"/>
      <c r="I50" s="34"/>
      <c r="J50" s="34"/>
      <c r="K50" s="34"/>
      <c r="L50" s="34"/>
      <c r="M50" s="34"/>
      <c r="N50" s="34"/>
      <c r="O50" s="36"/>
      <c r="P50" s="36"/>
      <c r="Q50" s="388"/>
      <c r="R50" s="388"/>
    </row>
  </sheetData>
  <mergeCells count="5">
    <mergeCell ref="A30:P32"/>
    <mergeCell ref="A41:P42"/>
    <mergeCell ref="A33:P34"/>
    <mergeCell ref="A35:P36"/>
    <mergeCell ref="Q7:R7"/>
  </mergeCells>
  <printOptions gridLines="1"/>
  <pageMargins left="1.5440104166666666" right="0.7" top="0.75" bottom="0.75" header="0.3" footer="0.3"/>
  <pageSetup paperSize="3" scale="77" orientation="landscape" r:id="rId1"/>
  <headerFooter>
    <oddHeader>&amp;LSmith Engineering Company&amp;RSeptember 2017</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Table 2-2 Base ImperValuesreprt</vt:lpstr>
      <vt:lpstr>dontuse Prop  % Imp. Vertical </vt:lpstr>
      <vt:lpstr>Dont use Exist  % Imp. Horiz</vt:lpstr>
      <vt:lpstr>East sediment bulking factors</vt:lpstr>
      <vt:lpstr>badExist &amp; Prop % Imp. Vertical</vt:lpstr>
      <vt:lpstr>Tab 2-2 Exist &amp; Prop % Imperv.</vt:lpstr>
      <vt:lpstr>1 Exist &amp; Prop % Imperviousness</vt:lpstr>
      <vt:lpstr>Table 2-3 PropDev  % Imp. </vt:lpstr>
      <vt:lpstr>Tab 2-4 Smith Hydrologic Data</vt:lpstr>
      <vt:lpstr>HUITT ZOLLERS Hydrologic Data</vt:lpstr>
      <vt:lpstr>West sediment bulking factors</vt:lpstr>
      <vt:lpstr>Future Devel,  % Imperviousness</vt:lpstr>
      <vt:lpstr>'Tab 2-4 Smith Hydrologic 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 Stovall</dc:creator>
  <cp:lastModifiedBy>Christopher Archuleta</cp:lastModifiedBy>
  <cp:lastPrinted>2017-08-27T14:38:24Z</cp:lastPrinted>
  <dcterms:created xsi:type="dcterms:W3CDTF">2016-05-26T15:16:30Z</dcterms:created>
  <dcterms:modified xsi:type="dcterms:W3CDTF">2017-09-01T17:52:26Z</dcterms:modified>
</cp:coreProperties>
</file>