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475" windowHeight="5130"/>
  </bookViews>
  <sheets>
    <sheet name="Depth Requirement" sheetId="1" r:id="rId1"/>
    <sheet name="Roll Waves" sheetId="6" r:id="rId2"/>
    <sheet name="Easement Curves" sheetId="4" r:id="rId3"/>
  </sheets>
  <definedNames>
    <definedName name="_xlnm.Print_Area" localSheetId="0">'Depth Requirement'!$A$1:$P$36</definedName>
    <definedName name="_xlnm.Print_Area" localSheetId="2">'Easement Curves'!$A$1:$G$13</definedName>
    <definedName name="_xlnm.Print_Area" localSheetId="1">'Roll Waves'!$A$1:$L$70</definedName>
  </definedNames>
  <calcPr calcId="145621"/>
</workbook>
</file>

<file path=xl/calcChain.xml><?xml version="1.0" encoding="utf-8"?>
<calcChain xmlns="http://schemas.openxmlformats.org/spreadsheetml/2006/main">
  <c r="R17" i="1" l="1"/>
  <c r="R16" i="1"/>
  <c r="R15" i="1"/>
  <c r="R14" i="1"/>
  <c r="R13" i="1"/>
  <c r="R12" i="1"/>
  <c r="R11" i="1"/>
  <c r="R10" i="1"/>
  <c r="R9" i="1"/>
  <c r="R8" i="1"/>
  <c r="R7" i="1"/>
  <c r="R6" i="1"/>
  <c r="R5" i="1"/>
  <c r="H12" i="6" l="1"/>
  <c r="G12" i="6"/>
  <c r="F12" i="6"/>
  <c r="D12" i="6"/>
  <c r="C12" i="6"/>
  <c r="H11" i="6"/>
  <c r="G11" i="6"/>
  <c r="F11" i="6"/>
  <c r="D11" i="6"/>
  <c r="C11" i="6"/>
  <c r="B12" i="6"/>
  <c r="B11" i="6"/>
  <c r="K18" i="1" l="1"/>
  <c r="L18" i="1" s="1"/>
  <c r="M18" i="1" s="1"/>
  <c r="H18" i="1"/>
  <c r="G18" i="1"/>
  <c r="K21" i="1"/>
  <c r="K20" i="1"/>
  <c r="K19" i="1"/>
  <c r="K17" i="1"/>
  <c r="K16" i="1"/>
  <c r="K15" i="1"/>
  <c r="K14" i="1"/>
  <c r="K12" i="1"/>
  <c r="K11" i="1"/>
  <c r="K10" i="1"/>
  <c r="K9" i="1"/>
  <c r="K8" i="1"/>
  <c r="K7" i="1"/>
  <c r="K6" i="1"/>
  <c r="K5" i="1"/>
  <c r="K13" i="1"/>
  <c r="A20" i="6" l="1"/>
  <c r="H20" i="6"/>
  <c r="G20" i="6"/>
  <c r="F20" i="6"/>
  <c r="D20" i="6"/>
  <c r="C20" i="6"/>
  <c r="F41" i="6" s="1"/>
  <c r="B20" i="6"/>
  <c r="A41" i="6"/>
  <c r="L20" i="1"/>
  <c r="M20" i="1" s="1"/>
  <c r="H20" i="1"/>
  <c r="G20" i="1"/>
  <c r="I20" i="6" l="1"/>
  <c r="G41" i="6"/>
  <c r="H41" i="6" s="1"/>
  <c r="J20" i="6"/>
  <c r="C41" i="6"/>
  <c r="D41" i="6" s="1"/>
  <c r="A40" i="6"/>
  <c r="A19" i="6"/>
  <c r="A27" i="6"/>
  <c r="A6" i="6"/>
  <c r="H19" i="6"/>
  <c r="G19" i="6"/>
  <c r="F19" i="6"/>
  <c r="D19" i="6"/>
  <c r="C19" i="6"/>
  <c r="B19" i="6"/>
  <c r="L19" i="1"/>
  <c r="M19" i="1" s="1"/>
  <c r="H19" i="1"/>
  <c r="G19" i="1"/>
  <c r="H6" i="6"/>
  <c r="G6" i="6"/>
  <c r="F6" i="6"/>
  <c r="D6" i="6"/>
  <c r="C27" i="6" s="1"/>
  <c r="C6" i="6"/>
  <c r="F27" i="6" s="1"/>
  <c r="B6" i="6"/>
  <c r="L6" i="1"/>
  <c r="M6" i="1" s="1"/>
  <c r="H6" i="1"/>
  <c r="G6" i="1"/>
  <c r="I41" i="6" l="1"/>
  <c r="J41" i="6" s="1"/>
  <c r="F40" i="6"/>
  <c r="J19" i="6"/>
  <c r="G40" i="6"/>
  <c r="I19" i="6"/>
  <c r="C40" i="6"/>
  <c r="D40" i="6" s="1"/>
  <c r="J6" i="6"/>
  <c r="I6" i="6"/>
  <c r="D27" i="6"/>
  <c r="G27" i="6"/>
  <c r="H27" i="6" s="1"/>
  <c r="A44" i="6"/>
  <c r="A43" i="6"/>
  <c r="A23" i="6"/>
  <c r="A22" i="6"/>
  <c r="H23" i="6"/>
  <c r="G23" i="6"/>
  <c r="F23" i="6"/>
  <c r="D23" i="6"/>
  <c r="C44" i="6" s="1"/>
  <c r="C23" i="6"/>
  <c r="F44" i="6" s="1"/>
  <c r="B23" i="6"/>
  <c r="H22" i="6"/>
  <c r="G22" i="6"/>
  <c r="F22" i="6"/>
  <c r="D22" i="6"/>
  <c r="C43" i="6" s="1"/>
  <c r="C22" i="6"/>
  <c r="F43" i="6" s="1"/>
  <c r="B22" i="6"/>
  <c r="K23" i="1"/>
  <c r="L23" i="1" s="1"/>
  <c r="M23" i="1" s="1"/>
  <c r="H23" i="1"/>
  <c r="G23" i="1"/>
  <c r="K22" i="1"/>
  <c r="L22" i="1" s="1"/>
  <c r="M22" i="1" s="1"/>
  <c r="H22" i="1"/>
  <c r="G22" i="1"/>
  <c r="A39" i="6"/>
  <c r="A21" i="6"/>
  <c r="A18" i="6"/>
  <c r="H18" i="6"/>
  <c r="G18" i="6"/>
  <c r="F18" i="6"/>
  <c r="D18" i="6"/>
  <c r="C18" i="6"/>
  <c r="F39" i="6" s="1"/>
  <c r="B18" i="6"/>
  <c r="G21" i="1"/>
  <c r="H21" i="1"/>
  <c r="L21" i="1"/>
  <c r="M21" i="1" s="1"/>
  <c r="H21" i="6"/>
  <c r="G21" i="6"/>
  <c r="F21" i="6"/>
  <c r="D21" i="6"/>
  <c r="C21" i="6"/>
  <c r="B21" i="6"/>
  <c r="A38" i="6"/>
  <c r="A35" i="6"/>
  <c r="A33" i="6"/>
  <c r="A17" i="6"/>
  <c r="A14" i="6"/>
  <c r="A12" i="6"/>
  <c r="A32" i="6"/>
  <c r="A11" i="6"/>
  <c r="C32" i="6"/>
  <c r="F32" i="6"/>
  <c r="L12" i="1"/>
  <c r="M12" i="1" s="1"/>
  <c r="H12" i="1"/>
  <c r="G12" i="1"/>
  <c r="A30" i="6"/>
  <c r="A9" i="6"/>
  <c r="A28" i="6"/>
  <c r="A7" i="6"/>
  <c r="G39" i="6" l="1"/>
  <c r="H39" i="6" s="1"/>
  <c r="C39" i="6"/>
  <c r="D39" i="6" s="1"/>
  <c r="I39" i="6" s="1"/>
  <c r="J39" i="6" s="1"/>
  <c r="K39" i="6" s="1"/>
  <c r="I40" i="6"/>
  <c r="J40" i="6" s="1"/>
  <c r="K40" i="6" s="1"/>
  <c r="H40" i="6"/>
  <c r="K41" i="6"/>
  <c r="L41" i="6" s="1"/>
  <c r="I27" i="6"/>
  <c r="J27" i="6" s="1"/>
  <c r="K27" i="6" s="1"/>
  <c r="L27" i="6" s="1"/>
  <c r="N6" i="1" s="1"/>
  <c r="O23" i="1"/>
  <c r="O22" i="1"/>
  <c r="D44" i="6"/>
  <c r="D43" i="6"/>
  <c r="J23" i="6"/>
  <c r="J22" i="6"/>
  <c r="G43" i="6"/>
  <c r="H43" i="6" s="1"/>
  <c r="I23" i="6"/>
  <c r="I22" i="6"/>
  <c r="G44" i="6"/>
  <c r="H44" i="6" s="1"/>
  <c r="I18" i="6"/>
  <c r="D32" i="6"/>
  <c r="J18" i="6"/>
  <c r="I11" i="6"/>
  <c r="G32" i="6"/>
  <c r="H32" i="6" s="1"/>
  <c r="I21" i="6"/>
  <c r="J11" i="6"/>
  <c r="J21" i="6"/>
  <c r="H17" i="6"/>
  <c r="G17" i="6"/>
  <c r="F17" i="6"/>
  <c r="D17" i="6"/>
  <c r="C17" i="6"/>
  <c r="F38" i="6" s="1"/>
  <c r="B17" i="6"/>
  <c r="H14" i="6"/>
  <c r="G14" i="6"/>
  <c r="F14" i="6"/>
  <c r="D14" i="6"/>
  <c r="C14" i="6"/>
  <c r="F35" i="6" s="1"/>
  <c r="B14" i="6"/>
  <c r="F33" i="6"/>
  <c r="H9" i="6"/>
  <c r="G9" i="6"/>
  <c r="F9" i="6"/>
  <c r="D9" i="6"/>
  <c r="C9" i="6"/>
  <c r="F30" i="6" s="1"/>
  <c r="B9" i="6"/>
  <c r="H7" i="6"/>
  <c r="G7" i="6"/>
  <c r="F7" i="6"/>
  <c r="D7" i="6"/>
  <c r="C7" i="6"/>
  <c r="F28" i="6" s="1"/>
  <c r="B7" i="6"/>
  <c r="L17" i="1"/>
  <c r="M17" i="1" s="1"/>
  <c r="H17" i="1"/>
  <c r="G17" i="1"/>
  <c r="L14" i="1"/>
  <c r="M14" i="1" s="1"/>
  <c r="H14" i="1"/>
  <c r="G14" i="1"/>
  <c r="L11" i="1"/>
  <c r="M11" i="1" s="1"/>
  <c r="H11" i="1"/>
  <c r="G11" i="1"/>
  <c r="L9" i="1"/>
  <c r="M9" i="1" s="1"/>
  <c r="H9" i="1"/>
  <c r="G9" i="1"/>
  <c r="L7" i="1"/>
  <c r="M7" i="1" s="1"/>
  <c r="H7" i="1"/>
  <c r="G7" i="1"/>
  <c r="L39" i="6" l="1"/>
  <c r="L40" i="6"/>
  <c r="P20" i="1"/>
  <c r="I43" i="6"/>
  <c r="J43" i="6" s="1"/>
  <c r="I44" i="6"/>
  <c r="J44" i="6" s="1"/>
  <c r="I32" i="6"/>
  <c r="J32" i="6" s="1"/>
  <c r="K32" i="6" s="1"/>
  <c r="L32" i="6" s="1"/>
  <c r="N11" i="1" s="1"/>
  <c r="O11" i="1" s="1"/>
  <c r="G38" i="6"/>
  <c r="H38" i="6" s="1"/>
  <c r="G35" i="6"/>
  <c r="H35" i="6" s="1"/>
  <c r="C38" i="6"/>
  <c r="D38" i="6" s="1"/>
  <c r="I17" i="6"/>
  <c r="C35" i="6"/>
  <c r="D35" i="6" s="1"/>
  <c r="G33" i="6"/>
  <c r="H33" i="6" s="1"/>
  <c r="C33" i="6"/>
  <c r="D33" i="6" s="1"/>
  <c r="G30" i="6"/>
  <c r="H30" i="6" s="1"/>
  <c r="J14" i="6"/>
  <c r="G28" i="6"/>
  <c r="H28" i="6" s="1"/>
  <c r="C30" i="6"/>
  <c r="D30" i="6" s="1"/>
  <c r="C28" i="6"/>
  <c r="D28" i="6" s="1"/>
  <c r="I12" i="6"/>
  <c r="J17" i="6"/>
  <c r="I9" i="6"/>
  <c r="J12" i="6"/>
  <c r="I14" i="6"/>
  <c r="J7" i="6"/>
  <c r="I7" i="6"/>
  <c r="J9" i="6"/>
  <c r="A42" i="6"/>
  <c r="A37" i="6"/>
  <c r="A36" i="6"/>
  <c r="A34" i="6"/>
  <c r="A31" i="6"/>
  <c r="A29" i="6"/>
  <c r="A26" i="6"/>
  <c r="A16" i="6"/>
  <c r="A15" i="6"/>
  <c r="A13" i="6"/>
  <c r="A10" i="6"/>
  <c r="A8" i="6"/>
  <c r="A5" i="6"/>
  <c r="N18" i="1" l="1"/>
  <c r="O20" i="1"/>
  <c r="R20" i="1" s="1"/>
  <c r="N19" i="1"/>
  <c r="K43" i="6"/>
  <c r="L43" i="6" s="1"/>
  <c r="N22" i="1" s="1"/>
  <c r="K44" i="6"/>
  <c r="L44" i="6" s="1"/>
  <c r="N23" i="1" s="1"/>
  <c r="P23" i="1" s="1"/>
  <c r="I33" i="6"/>
  <c r="J33" i="6" s="1"/>
  <c r="K33" i="6" s="1"/>
  <c r="L33" i="6" s="1"/>
  <c r="N12" i="1" s="1"/>
  <c r="I38" i="6"/>
  <c r="J38" i="6" s="1"/>
  <c r="K38" i="6" s="1"/>
  <c r="L38" i="6" s="1"/>
  <c r="N17" i="1" s="1"/>
  <c r="I35" i="6"/>
  <c r="J35" i="6" s="1"/>
  <c r="K35" i="6" s="1"/>
  <c r="L35" i="6" s="1"/>
  <c r="N14" i="1" s="1"/>
  <c r="O14" i="1" s="1"/>
  <c r="I28" i="6"/>
  <c r="J28" i="6" s="1"/>
  <c r="K28" i="6" s="1"/>
  <c r="L28" i="6" s="1"/>
  <c r="I30" i="6"/>
  <c r="J30" i="6" s="1"/>
  <c r="K30" i="6" s="1"/>
  <c r="L30" i="6" s="1"/>
  <c r="N9" i="1" s="1"/>
  <c r="O9" i="1" s="1"/>
  <c r="B8" i="6"/>
  <c r="C8" i="6"/>
  <c r="F29" i="6" s="1"/>
  <c r="D8" i="6"/>
  <c r="F8" i="6"/>
  <c r="G8" i="6"/>
  <c r="H8" i="6"/>
  <c r="B10" i="6"/>
  <c r="C10" i="6"/>
  <c r="F31" i="6" s="1"/>
  <c r="D10" i="6"/>
  <c r="F10" i="6"/>
  <c r="G10" i="6"/>
  <c r="H10" i="6"/>
  <c r="B13" i="6"/>
  <c r="C13" i="6"/>
  <c r="F34" i="6" s="1"/>
  <c r="D13" i="6"/>
  <c r="F13" i="6"/>
  <c r="G13" i="6"/>
  <c r="H13" i="6"/>
  <c r="B15" i="6"/>
  <c r="C15" i="6"/>
  <c r="F36" i="6" s="1"/>
  <c r="D15" i="6"/>
  <c r="F15" i="6"/>
  <c r="G15" i="6"/>
  <c r="H15" i="6"/>
  <c r="B16" i="6"/>
  <c r="C16" i="6"/>
  <c r="F37" i="6" s="1"/>
  <c r="D16" i="6"/>
  <c r="F16" i="6"/>
  <c r="G16" i="6"/>
  <c r="H16" i="6"/>
  <c r="F42" i="6"/>
  <c r="H5" i="6"/>
  <c r="G5" i="6"/>
  <c r="F5" i="6"/>
  <c r="D5" i="6"/>
  <c r="C5" i="6"/>
  <c r="F26" i="6" s="1"/>
  <c r="B5" i="6"/>
  <c r="O18" i="1" l="1"/>
  <c r="R18" i="1" s="1"/>
  <c r="P18" i="1"/>
  <c r="P19" i="1"/>
  <c r="O19" i="1"/>
  <c r="R19" i="1" s="1"/>
  <c r="N7" i="1"/>
  <c r="P12" i="1"/>
  <c r="O12" i="1"/>
  <c r="O17" i="1"/>
  <c r="C37" i="6"/>
  <c r="D37" i="6" s="1"/>
  <c r="I16" i="6"/>
  <c r="G37" i="6"/>
  <c r="H37" i="6" s="1"/>
  <c r="C29" i="6"/>
  <c r="D29" i="6" s="1"/>
  <c r="I8" i="6"/>
  <c r="G29" i="6"/>
  <c r="H29" i="6" s="1"/>
  <c r="C42" i="6"/>
  <c r="D42" i="6" s="1"/>
  <c r="G42" i="6"/>
  <c r="H42" i="6" s="1"/>
  <c r="C31" i="6"/>
  <c r="D31" i="6" s="1"/>
  <c r="I10" i="6"/>
  <c r="G31" i="6"/>
  <c r="H31" i="6" s="1"/>
  <c r="I5" i="6"/>
  <c r="C34" i="6"/>
  <c r="D34" i="6" s="1"/>
  <c r="G34" i="6"/>
  <c r="H34" i="6" s="1"/>
  <c r="I13" i="6"/>
  <c r="C36" i="6"/>
  <c r="D36" i="6" s="1"/>
  <c r="G36" i="6"/>
  <c r="H36" i="6" s="1"/>
  <c r="I15" i="6"/>
  <c r="C26" i="6"/>
  <c r="D26" i="6" s="1"/>
  <c r="G26" i="6"/>
  <c r="H26" i="6" s="1"/>
  <c r="J13" i="6"/>
  <c r="J10" i="6"/>
  <c r="J16" i="6"/>
  <c r="J5" i="6"/>
  <c r="J8" i="6"/>
  <c r="J15" i="6"/>
  <c r="L16" i="1"/>
  <c r="M16" i="1" s="1"/>
  <c r="L15" i="1"/>
  <c r="M15" i="1" s="1"/>
  <c r="L13" i="1"/>
  <c r="M13" i="1" s="1"/>
  <c r="L10" i="1"/>
  <c r="M10" i="1" s="1"/>
  <c r="L8" i="1"/>
  <c r="M8" i="1" s="1"/>
  <c r="L5" i="1"/>
  <c r="M5" i="1" s="1"/>
  <c r="G16" i="1"/>
  <c r="G15" i="1"/>
  <c r="G13" i="1"/>
  <c r="G8" i="1"/>
  <c r="G5" i="1"/>
  <c r="G10" i="1"/>
  <c r="H15" i="1"/>
  <c r="H13" i="1"/>
  <c r="H10" i="1"/>
  <c r="H8" i="1"/>
  <c r="H16" i="1"/>
  <c r="H5" i="1"/>
  <c r="P5" i="1" l="1"/>
  <c r="O7" i="1"/>
  <c r="P7" i="1"/>
  <c r="P6" i="1"/>
  <c r="O6" i="1"/>
  <c r="I26" i="6"/>
  <c r="J26" i="6" s="1"/>
  <c r="I34" i="6"/>
  <c r="J34" i="6" s="1"/>
  <c r="K34" i="6" s="1"/>
  <c r="L34" i="6" s="1"/>
  <c r="N13" i="1" s="1"/>
  <c r="I42" i="6"/>
  <c r="I37" i="6"/>
  <c r="I36" i="6"/>
  <c r="J36" i="6" s="1"/>
  <c r="I31" i="6"/>
  <c r="J31" i="6" s="1"/>
  <c r="I29" i="6"/>
  <c r="J29" i="6" s="1"/>
  <c r="K29" i="6" s="1"/>
  <c r="F5" i="4"/>
  <c r="G5" i="4"/>
  <c r="P9" i="1" l="1"/>
  <c r="L29" i="6"/>
  <c r="N8" i="1" s="1"/>
  <c r="P14" i="1"/>
  <c r="K31" i="6"/>
  <c r="L31" i="6" s="1"/>
  <c r="K36" i="6"/>
  <c r="L36" i="6" s="1"/>
  <c r="N15" i="1" s="1"/>
  <c r="J42" i="6"/>
  <c r="K42" i="6" s="1"/>
  <c r="L42" i="6" s="1"/>
  <c r="J37" i="6"/>
  <c r="K37" i="6" s="1"/>
  <c r="L37" i="6" s="1"/>
  <c r="K26" i="6"/>
  <c r="L26" i="6" s="1"/>
  <c r="P17" i="1" l="1"/>
  <c r="N16" i="1"/>
  <c r="P15" i="1"/>
  <c r="O15" i="1"/>
  <c r="P13" i="1"/>
  <c r="O13" i="1"/>
  <c r="P8" i="1"/>
  <c r="O8" i="1"/>
  <c r="N21" i="1"/>
  <c r="P22" i="1"/>
  <c r="N10" i="1"/>
  <c r="P11" i="1"/>
  <c r="P21" i="1" l="1"/>
  <c r="O21" i="1"/>
  <c r="R21" i="1" s="1"/>
  <c r="P16" i="1"/>
  <c r="O16" i="1"/>
  <c r="P10" i="1"/>
  <c r="O10" i="1"/>
  <c r="O5" i="1"/>
</calcChain>
</file>

<file path=xl/sharedStrings.xml><?xml version="1.0" encoding="utf-8"?>
<sst xmlns="http://schemas.openxmlformats.org/spreadsheetml/2006/main" count="124" uniqueCount="104">
  <si>
    <t>SIDE SLOPES</t>
  </si>
  <si>
    <t>BOTTOM WIDTH (ft)</t>
  </si>
  <si>
    <r>
      <t>FREEBOARD</t>
    </r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(ft)</t>
    </r>
  </si>
  <si>
    <r>
      <t>SUPER-ELEVATION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(ft)</t>
    </r>
  </si>
  <si>
    <t>4) Freeboard  for flow rates &gt;100 cfs and velocity&gt;35 fps (per DPM section 3.C.4.b(2) ):</t>
  </si>
  <si>
    <t>3) Includes 3' behind face of channel (both sides), and 20' for maintenance road and trail</t>
  </si>
  <si>
    <r>
      <t>S = 1.3V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(b+2zD)/2gr</t>
    </r>
  </si>
  <si>
    <t>where:</t>
  </si>
  <si>
    <t>b= bottom width</t>
  </si>
  <si>
    <t>r=radius (assume 300' worst case)</t>
  </si>
  <si>
    <t>CURVE RADII     (ft)</t>
  </si>
  <si>
    <t>1)  From HEC-RAS Calcs</t>
  </si>
  <si>
    <r>
      <t>MAX WATER DEPTH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(ft)</t>
    </r>
  </si>
  <si>
    <r>
      <t>MAX VELOCITY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(ft/s)</t>
    </r>
  </si>
  <si>
    <t>z=cotangent of bank slope (1/2 in this case)</t>
  </si>
  <si>
    <t>Pino Arroyo Easement Curves</t>
  </si>
  <si>
    <r>
      <t>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0.32V(b+2zD)/D</t>
    </r>
    <r>
      <rPr>
        <vertAlign val="superscript"/>
        <sz val="11"/>
        <color theme="1"/>
        <rFont val="Calibri"/>
        <family val="2"/>
        <scheme val="minor"/>
      </rPr>
      <t>1/2</t>
    </r>
  </si>
  <si>
    <t>CURVE RADII IN     (ft)</t>
  </si>
  <si>
    <t>CURVE RADII OUT     (ft)</t>
  </si>
  <si>
    <t>2)  Easement curves for trapezoidal channels (per DPM section 3.B.2)</t>
  </si>
  <si>
    <r>
      <t>EASM'T CURVE LENGTH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  (ft)</t>
    </r>
  </si>
  <si>
    <t>STA</t>
  </si>
  <si>
    <r>
      <t>ROLL WAVE</t>
    </r>
    <r>
      <rPr>
        <b/>
        <vertAlign val="superscript"/>
        <sz val="11"/>
        <color theme="1"/>
        <rFont val="Calibri"/>
        <family val="2"/>
        <scheme val="minor"/>
      </rPr>
      <t>7</t>
    </r>
    <r>
      <rPr>
        <b/>
        <sz val="11"/>
        <color theme="1"/>
        <rFont val="Calibri"/>
        <family val="2"/>
        <scheme val="minor"/>
      </rPr>
      <t xml:space="preserve"> (ft)</t>
    </r>
  </si>
  <si>
    <t>6)  Reynold's Number</t>
  </si>
  <si>
    <r>
      <t xml:space="preserve">Reynold's Number 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</si>
  <si>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>Re = VD/</t>
    </r>
    <r>
      <rPr>
        <sz val="11"/>
        <color theme="1"/>
        <rFont val="GreekC"/>
      </rPr>
      <t>u</t>
    </r>
  </si>
  <si>
    <t>12/Re</t>
  </si>
  <si>
    <r>
      <rPr>
        <sz val="11"/>
        <color theme="1"/>
        <rFont val="GreekC"/>
      </rPr>
      <t>u</t>
    </r>
    <r>
      <rPr>
        <sz val="11"/>
        <color theme="1"/>
        <rFont val="Calibri"/>
        <family val="2"/>
        <scheme val="minor"/>
      </rPr>
      <t>=kinematic viscosity 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/s) = </t>
    </r>
  </si>
  <si>
    <t>ROLL WAVE CALC REQ'D</t>
  </si>
  <si>
    <t>2)  Reynold's Number</t>
  </si>
  <si>
    <t>a)</t>
  </si>
  <si>
    <t>z=channel side slope (x:1)</t>
  </si>
  <si>
    <r>
      <t>k = (1+z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    (Eq. 3)</t>
    </r>
  </si>
  <si>
    <t>b)</t>
  </si>
  <si>
    <t>Y* = y/b         (Eq. 6)</t>
  </si>
  <si>
    <t>c)</t>
  </si>
  <si>
    <r>
      <t>F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</t>
    </r>
  </si>
  <si>
    <t>(Eq. 5)</t>
  </si>
  <si>
    <t>d)</t>
  </si>
  <si>
    <t>e)</t>
  </si>
  <si>
    <t>A=flow area</t>
  </si>
  <si>
    <t>f)</t>
  </si>
  <si>
    <r>
      <t>(A</t>
    </r>
    <r>
      <rPr>
        <u/>
        <vertAlign val="subscript"/>
        <sz val="11"/>
        <color theme="1"/>
        <rFont val="Calibri"/>
        <family val="2"/>
        <scheme val="minor"/>
      </rPr>
      <t>2</t>
    </r>
    <r>
      <rPr>
        <u/>
        <sz val="11"/>
        <color theme="1"/>
        <rFont val="Calibri"/>
        <family val="2"/>
        <scheme val="minor"/>
      </rPr>
      <t>c</t>
    </r>
    <r>
      <rPr>
        <u/>
        <vertAlign val="subscript"/>
        <sz val="11"/>
        <color theme="1"/>
        <rFont val="Calibri"/>
        <family val="2"/>
        <scheme val="minor"/>
      </rPr>
      <t>2</t>
    </r>
    <r>
      <rPr>
        <u/>
        <sz val="11"/>
        <color theme="1"/>
        <rFont val="Calibri"/>
        <family val="2"/>
        <scheme val="minor"/>
      </rPr>
      <t>-A</t>
    </r>
    <r>
      <rPr>
        <u/>
        <vertAlign val="subscript"/>
        <sz val="11"/>
        <color theme="1"/>
        <rFont val="Calibri"/>
        <family val="2"/>
        <scheme val="minor"/>
      </rPr>
      <t>1</t>
    </r>
    <r>
      <rPr>
        <u/>
        <sz val="11"/>
        <color theme="1"/>
        <rFont val="Calibri"/>
        <family val="2"/>
        <scheme val="minor"/>
      </rPr>
      <t>c</t>
    </r>
    <r>
      <rPr>
        <u/>
        <vertAlign val="subscript"/>
        <sz val="11"/>
        <color theme="1"/>
        <rFont val="Calibri"/>
        <family val="2"/>
        <scheme val="minor"/>
      </rPr>
      <t>1</t>
    </r>
    <r>
      <rPr>
        <u/>
        <sz val="11"/>
        <color theme="1"/>
        <rFont val="Calibri"/>
        <family val="2"/>
        <scheme val="minor"/>
      </rPr>
      <t>)g</t>
    </r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</si>
  <si>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(1-A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</si>
  <si>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rPr>
        <sz val="20"/>
        <color theme="1"/>
        <rFont val="Calibri"/>
        <family val="2"/>
        <scheme val="minor"/>
      </rPr>
      <t>]</t>
    </r>
    <r>
      <rPr>
        <vertAlign val="superscript"/>
        <sz val="11"/>
        <color theme="1"/>
        <rFont val="Calibri"/>
        <family val="2"/>
        <scheme val="minor"/>
      </rPr>
      <t>1/2</t>
    </r>
  </si>
  <si>
    <r>
      <t xml:space="preserve">Subscript 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 design condition including roll waves</t>
    </r>
  </si>
  <si>
    <t>V=velocity</t>
  </si>
  <si>
    <t>c=depth to centroid of flow (approximated by 0.5y)</t>
  </si>
  <si>
    <r>
      <t>g=32.2 ft/s</t>
    </r>
    <r>
      <rPr>
        <vertAlign val="superscript"/>
        <sz val="11"/>
        <color theme="1"/>
        <rFont val="Calibri"/>
        <family val="2"/>
        <scheme val="minor"/>
      </rPr>
      <t>2</t>
    </r>
  </si>
  <si>
    <t>h)</t>
  </si>
  <si>
    <r>
      <t>V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=V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</t>
    </r>
    <r>
      <rPr>
        <sz val="20"/>
        <color theme="1"/>
        <rFont val="Calibri"/>
        <family val="2"/>
        <scheme val="minor"/>
      </rPr>
      <t>[</t>
    </r>
  </si>
  <si>
    <t>y=water depth</t>
  </si>
  <si>
    <t>(Eq. 11)</t>
  </si>
  <si>
    <t>h=estimated roll wave height (ft)</t>
  </si>
  <si>
    <t>g)</t>
  </si>
  <si>
    <r>
      <t>y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 xml:space="preserve">3a         </t>
    </r>
    <r>
      <rPr>
        <b/>
        <sz val="11"/>
        <color theme="1"/>
        <rFont val="Calibri"/>
        <family val="2"/>
        <scheme val="minor"/>
      </rPr>
      <t xml:space="preserve"> (ft)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</si>
  <si>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 xml:space="preserve">3b             </t>
    </r>
    <r>
      <rPr>
        <b/>
        <sz val="11"/>
        <color theme="1"/>
        <rFont val="Calibri"/>
        <family val="2"/>
        <scheme val="minor"/>
      </rPr>
      <t xml:space="preserve"> (ft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</si>
  <si>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k</t>
    </r>
    <r>
      <rPr>
        <b/>
        <vertAlign val="superscript"/>
        <sz val="11"/>
        <color theme="1"/>
        <rFont val="Calibri"/>
        <family val="2"/>
        <scheme val="minor"/>
      </rPr>
      <t>3c</t>
    </r>
  </si>
  <si>
    <r>
      <t xml:space="preserve">Y* </t>
    </r>
    <r>
      <rPr>
        <b/>
        <vertAlign val="superscript"/>
        <sz val="11"/>
        <color theme="1"/>
        <rFont val="Calibri"/>
        <family val="2"/>
        <scheme val="minor"/>
      </rPr>
      <t>3d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</si>
  <si>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3e</t>
    </r>
  </si>
  <si>
    <r>
      <t>WAVE VELOCITY V</t>
    </r>
    <r>
      <rPr>
        <b/>
        <vertAlign val="subscript"/>
        <sz val="11"/>
        <color theme="1"/>
        <rFont val="Calibri"/>
        <family val="2"/>
        <scheme val="minor"/>
      </rPr>
      <t>w</t>
    </r>
    <r>
      <rPr>
        <b/>
        <vertAlign val="superscript"/>
        <sz val="11"/>
        <color theme="1"/>
        <rFont val="Calibri"/>
        <family val="2"/>
        <scheme val="minor"/>
      </rPr>
      <t>3f</t>
    </r>
    <r>
      <rPr>
        <b/>
        <sz val="11"/>
        <color theme="1"/>
        <rFont val="Calibri"/>
        <family val="2"/>
        <scheme val="minor"/>
      </rPr>
      <t xml:space="preserve">        (ft/s)</t>
    </r>
  </si>
  <si>
    <t>3[(1+2kY*)(1+2zY*)]</t>
  </si>
  <si>
    <r>
      <t xml:space="preserve">   2[1+2zY*+2kzY*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</si>
  <si>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SIDE SLOPES   z</t>
  </si>
  <si>
    <r>
      <t>WATER DEPTH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         y</t>
    </r>
    <r>
      <rPr>
        <b/>
        <sz val="11"/>
        <color theme="1"/>
        <rFont val="Calibri"/>
        <family val="2"/>
        <scheme val="minor"/>
      </rPr>
      <t xml:space="preserve">                 (ft)</t>
    </r>
  </si>
  <si>
    <r>
      <t>VELOCITY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          V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            (ft/s)</t>
    </r>
  </si>
  <si>
    <r>
      <t>Flow Area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        A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            (ft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</si>
  <si>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Channel Slope      S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</si>
  <si>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t>Froude Number        F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</si>
  <si>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Reynold's Number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 xml:space="preserve">      Re </t>
    </r>
  </si>
  <si>
    <t xml:space="preserve">3)  Roll wave heights (per "Slug and Pulsating Flow in High Gradient Channel" by James Guo, </t>
  </si>
  <si>
    <t>Journal of IWRA Water International, Vol. 24, No. 1, March 1999)</t>
  </si>
  <si>
    <r>
      <t>VELOCITY BEHIND WAVE        V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>3g</t>
    </r>
    <r>
      <rPr>
        <b/>
        <sz val="11"/>
        <color theme="1"/>
        <rFont val="Calibri"/>
        <family val="2"/>
        <scheme val="minor"/>
      </rPr>
      <t xml:space="preserve">                    (ft/s)</t>
    </r>
  </si>
  <si>
    <r>
      <t>CALCULATED ROLL WAVE HEIGHT             h</t>
    </r>
    <r>
      <rPr>
        <b/>
        <vertAlign val="superscript"/>
        <sz val="11"/>
        <color theme="1"/>
        <rFont val="Calibri"/>
        <family val="2"/>
        <scheme val="minor"/>
      </rPr>
      <t>3i</t>
    </r>
    <r>
      <rPr>
        <b/>
        <sz val="11"/>
        <color theme="1"/>
        <rFont val="Calibri"/>
        <family val="2"/>
        <scheme val="minor"/>
      </rPr>
      <t xml:space="preserve">                         (ft)</t>
    </r>
  </si>
  <si>
    <t>i)</t>
  </si>
  <si>
    <r>
      <t xml:space="preserve">Subscript 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 design condition from HEC-RAS</t>
    </r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</si>
  <si>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(b+y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z)      (basic trapezoid area)</t>
    </r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</si>
  <si>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=[(V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-V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+V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]/A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   (Eq. 9)</t>
    </r>
  </si>
  <si>
    <r>
      <t>WAVE CELERITY        C</t>
    </r>
    <r>
      <rPr>
        <b/>
        <vertAlign val="superscript"/>
        <sz val="11"/>
        <color theme="1"/>
        <rFont val="Calibri"/>
        <family val="2"/>
        <scheme val="minor"/>
      </rPr>
      <t>3h</t>
    </r>
    <r>
      <rPr>
        <b/>
        <sz val="11"/>
        <color theme="1"/>
        <rFont val="Calibri"/>
        <family val="2"/>
        <scheme val="minor"/>
      </rPr>
      <t xml:space="preserve">                    (ft/s)</t>
    </r>
  </si>
  <si>
    <t>h=</t>
  </si>
  <si>
    <r>
      <t>C</t>
    </r>
    <r>
      <rPr>
        <u/>
        <vertAlign val="superscript"/>
        <sz val="11"/>
        <color theme="1"/>
        <rFont val="Calibri"/>
        <family val="2"/>
        <scheme val="minor"/>
      </rPr>
      <t>2</t>
    </r>
    <r>
      <rPr>
        <u/>
        <sz val="11"/>
        <color theme="1"/>
        <rFont val="Calibri"/>
        <family val="2"/>
        <scheme val="minor"/>
      </rPr>
      <t>2y</t>
    </r>
    <r>
      <rPr>
        <u/>
        <vertAlign val="subscript"/>
        <sz val="11"/>
        <color theme="1"/>
        <rFont val="Calibri"/>
        <family val="2"/>
        <scheme val="minor"/>
      </rPr>
      <t>1</t>
    </r>
    <r>
      <rPr>
        <u/>
        <sz val="11"/>
        <color theme="1"/>
        <rFont val="Calibri"/>
        <family val="2"/>
        <scheme val="minor"/>
      </rPr>
      <t>(F</t>
    </r>
    <r>
      <rPr>
        <u/>
        <vertAlign val="subscript"/>
        <sz val="11"/>
        <color theme="1"/>
        <rFont val="Calibri"/>
        <family val="2"/>
        <scheme val="minor"/>
      </rPr>
      <t>2</t>
    </r>
    <r>
      <rPr>
        <u/>
        <sz val="11"/>
        <color theme="1"/>
        <rFont val="Calibri"/>
        <family val="2"/>
        <scheme val="minor"/>
      </rPr>
      <t>-F</t>
    </r>
    <r>
      <rPr>
        <u/>
        <vertAlign val="subscript"/>
        <sz val="11"/>
        <color theme="1"/>
        <rFont val="Calibri"/>
        <family val="2"/>
        <scheme val="minor"/>
      </rPr>
      <t>1</t>
    </r>
    <r>
      <rPr>
        <u/>
        <sz val="11"/>
        <color theme="1"/>
        <rFont val="Calibri"/>
        <family val="2"/>
        <scheme val="minor"/>
      </rPr>
      <t>)</t>
    </r>
  </si>
  <si>
    <r>
      <t xml:space="preserve"> g (y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</si>
  <si>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(Eq. 14)</t>
  </si>
  <si>
    <r>
      <t>C=V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-V</t>
    </r>
    <r>
      <rPr>
        <vertAlign val="subscript"/>
        <sz val="11"/>
        <color theme="1"/>
        <rFont val="Calibri"/>
        <family val="2"/>
        <scheme val="minor"/>
      </rPr>
      <t xml:space="preserve">2                  </t>
    </r>
    <r>
      <rPr>
        <sz val="11"/>
        <color theme="1"/>
        <rFont val="Calibri"/>
        <family val="2"/>
        <scheme val="minor"/>
      </rPr>
      <t>(Eq. 13)</t>
    </r>
  </si>
  <si>
    <r>
      <t>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=h+y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           (Eq. 12 modified)</t>
    </r>
  </si>
  <si>
    <r>
      <t>y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=water depth without roll wave</t>
    </r>
  </si>
  <si>
    <t>BOTTOM WIDTH                b                        (ft)</t>
  </si>
  <si>
    <t>r=radius (assume 500' worst case)</t>
  </si>
  <si>
    <r>
      <t>WATER DEPTH</t>
    </r>
    <r>
      <rPr>
        <b/>
        <vertAlign val="superscript"/>
        <sz val="11"/>
        <color rgb="FFFF0000"/>
        <rFont val="Calibri"/>
        <family val="2"/>
        <scheme val="minor"/>
      </rPr>
      <t>1</t>
    </r>
    <r>
      <rPr>
        <b/>
        <sz val="11"/>
        <color rgb="FFFF0000"/>
        <rFont val="Calibri"/>
        <family val="2"/>
        <scheme val="minor"/>
      </rPr>
      <t xml:space="preserve"> (ft)</t>
    </r>
  </si>
  <si>
    <r>
      <t>VELOCITY</t>
    </r>
    <r>
      <rPr>
        <b/>
        <vertAlign val="superscript"/>
        <sz val="11"/>
        <color rgb="FFFF0000"/>
        <rFont val="Calibri"/>
        <family val="2"/>
        <scheme val="minor"/>
      </rPr>
      <t>1</t>
    </r>
    <r>
      <rPr>
        <b/>
        <sz val="11"/>
        <color rgb="FFFF0000"/>
        <rFont val="Calibri"/>
        <family val="2"/>
        <scheme val="minor"/>
      </rPr>
      <t xml:space="preserve"> (ft/s)</t>
    </r>
  </si>
  <si>
    <r>
      <t xml:space="preserve">Froude Number 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</si>
  <si>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r>
      <t>MIN CHANNEL DEPTH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  (ft)</t>
    </r>
  </si>
  <si>
    <r>
      <t>MAX WATER DEPTH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  (ft)</t>
    </r>
  </si>
  <si>
    <t>2)  Includes superelevation and roll wave heights.  Minimum Channel Depth also includes freeboard</t>
  </si>
  <si>
    <t>5)  Superelevation for supercritical velocity (per DPM section 22.3.C.2</t>
  </si>
  <si>
    <t>7)  See calculations in Pino Arroyo Roll Wave Heights Table</t>
  </si>
  <si>
    <t>Pino Arroyo Roll Wave Heights Table</t>
  </si>
  <si>
    <t>CHANNEL INV      ELEV</t>
  </si>
  <si>
    <t>MAX WATER SURFACE ELEV</t>
  </si>
  <si>
    <t>ESTIMATED ROLL WAVE HEIGHT                (ft)</t>
  </si>
  <si>
    <r>
      <t>Freeboard (feet) = 0.7(2.0+0.25Vd</t>
    </r>
    <r>
      <rPr>
        <vertAlign val="superscript"/>
        <sz val="11"/>
        <color theme="1"/>
        <rFont val="Calibri"/>
        <family val="2"/>
        <scheme val="minor"/>
      </rPr>
      <t>1/3</t>
    </r>
    <r>
      <rPr>
        <sz val="11"/>
        <color theme="1"/>
        <rFont val="Calibri"/>
        <family val="2"/>
        <scheme val="minor"/>
      </rPr>
      <t>)</t>
    </r>
  </si>
  <si>
    <r>
      <t>Friction Slope (S</t>
    </r>
    <r>
      <rPr>
        <b/>
        <vertAlign val="subscript"/>
        <sz val="11"/>
        <color rgb="FFFF0000"/>
        <rFont val="Calibri"/>
        <family val="2"/>
        <scheme val="minor"/>
      </rPr>
      <t>0</t>
    </r>
    <r>
      <rPr>
        <b/>
        <sz val="11"/>
        <color rgb="FFFF0000"/>
        <rFont val="Calibri"/>
        <family val="2"/>
        <scheme val="minor"/>
      </rPr>
      <t>)</t>
    </r>
  </si>
  <si>
    <t>Pino Arroyo Open Channel Depth Requirement Table</t>
  </si>
  <si>
    <t>The Foothills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</si>
</sst>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000"/>
    <numFmt numFmtId="167" formatCode="0.00000000"/>
    <numFmt numFmtId="168" formatCode="##\+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reekC"/>
    </font>
    <font>
      <b/>
      <vertAlign val="sub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vertAlign val="subscript"/>
      <sz val="11"/>
      <color theme="1"/>
      <name val="Calibri"/>
      <family val="2"/>
      <scheme val="minor"/>
    </font>
    <font>
      <u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/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quotePrefix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quotePrefix="1" applyAlignment="1"/>
    <xf numFmtId="0" fontId="0" fillId="0" borderId="0" xfId="0" applyAlignment="1"/>
    <xf numFmtId="164" fontId="2" fillId="0" borderId="0" xfId="0" applyNumberFormat="1" applyFont="1"/>
    <xf numFmtId="164" fontId="0" fillId="0" borderId="0" xfId="0" applyNumberFormat="1"/>
    <xf numFmtId="164" fontId="1" fillId="0" borderId="3" xfId="0" applyNumberFormat="1" applyFont="1" applyBorder="1" applyAlignment="1">
      <alignment horizontal="centerContinuous" wrapText="1"/>
    </xf>
    <xf numFmtId="164" fontId="0" fillId="0" borderId="0" xfId="0" applyNumberFormat="1" applyAlignment="1"/>
    <xf numFmtId="164" fontId="1" fillId="0" borderId="3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" fontId="0" fillId="0" borderId="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8" fillId="0" borderId="0" xfId="0" applyNumberFormat="1" applyFont="1"/>
    <xf numFmtId="11" fontId="0" fillId="0" borderId="0" xfId="0" applyNumberFormat="1" applyAlignment="1">
      <alignment horizontal="center"/>
    </xf>
    <xf numFmtId="165" fontId="0" fillId="0" borderId="12" xfId="0" applyNumberForma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Continuous" wrapText="1"/>
    </xf>
    <xf numFmtId="2" fontId="0" fillId="0" borderId="12" xfId="0" applyNumberFormat="1" applyBorder="1" applyAlignment="1">
      <alignment horizontal="centerContinuous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1" fillId="0" borderId="5" xfId="0" applyNumberFormat="1" applyFont="1" applyBorder="1" applyAlignment="1">
      <alignment horizontal="centerContinuous" wrapText="1"/>
    </xf>
    <xf numFmtId="164" fontId="0" fillId="0" borderId="0" xfId="0" applyNumberFormat="1" applyBorder="1"/>
    <xf numFmtId="0" fontId="0" fillId="0" borderId="0" xfId="0" applyBorder="1"/>
    <xf numFmtId="164" fontId="1" fillId="0" borderId="2" xfId="0" applyNumberFormat="1" applyFont="1" applyBorder="1" applyAlignment="1">
      <alignment horizontal="centerContinuous" wrapText="1"/>
    </xf>
    <xf numFmtId="164" fontId="0" fillId="0" borderId="20" xfId="0" applyNumberFormat="1" applyBorder="1" applyAlignment="1">
      <alignment horizontal="centerContinuous"/>
    </xf>
    <xf numFmtId="164" fontId="7" fillId="0" borderId="21" xfId="0" applyNumberFormat="1" applyFont="1" applyBorder="1" applyAlignment="1">
      <alignment horizontal="centerContinuous"/>
    </xf>
    <xf numFmtId="164" fontId="0" fillId="0" borderId="22" xfId="0" applyNumberFormat="1" applyBorder="1" applyAlignment="1">
      <alignment horizontal="centerContinuous"/>
    </xf>
    <xf numFmtId="164" fontId="7" fillId="0" borderId="23" xfId="0" applyNumberFormat="1" applyFont="1" applyBorder="1" applyAlignment="1">
      <alignment horizontal="centerContinuous"/>
    </xf>
    <xf numFmtId="2" fontId="0" fillId="2" borderId="12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1" fillId="0" borderId="24" xfId="0" applyNumberFormat="1" applyFont="1" applyBorder="1" applyAlignment="1">
      <alignment horizontal="centerContinuous" wrapText="1"/>
    </xf>
    <xf numFmtId="164" fontId="1" fillId="0" borderId="0" xfId="0" applyNumberFormat="1" applyFont="1" applyBorder="1" applyAlignment="1">
      <alignment horizontal="center" wrapText="1"/>
    </xf>
    <xf numFmtId="166" fontId="0" fillId="0" borderId="2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164" fontId="14" fillId="0" borderId="3" xfId="0" applyNumberFormat="1" applyFont="1" applyBorder="1" applyAlignment="1">
      <alignment horizontal="centerContinuous" wrapText="1"/>
    </xf>
    <xf numFmtId="164" fontId="14" fillId="0" borderId="3" xfId="0" applyNumberFormat="1" applyFont="1" applyFill="1" applyBorder="1" applyAlignment="1">
      <alignment horizontal="centerContinuous" wrapText="1"/>
    </xf>
    <xf numFmtId="0" fontId="14" fillId="0" borderId="1" xfId="0" applyFont="1" applyBorder="1" applyAlignment="1">
      <alignment horizontal="center" wrapText="1"/>
    </xf>
    <xf numFmtId="0" fontId="0" fillId="3" borderId="10" xfId="0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5" fontId="0" fillId="3" borderId="10" xfId="0" applyNumberForma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5" fontId="0" fillId="3" borderId="12" xfId="0" applyNumberFormat="1" applyFill="1" applyBorder="1" applyAlignment="1">
      <alignment horizontal="center"/>
    </xf>
    <xf numFmtId="164" fontId="7" fillId="3" borderId="16" xfId="0" applyNumberFormat="1" applyFon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Continuous"/>
    </xf>
    <xf numFmtId="164" fontId="7" fillId="3" borderId="19" xfId="0" applyNumberFormat="1" applyFont="1" applyFill="1" applyBorder="1" applyAlignment="1">
      <alignment horizontal="centerContinuous"/>
    </xf>
    <xf numFmtId="164" fontId="0" fillId="3" borderId="20" xfId="0" applyNumberFormat="1" applyFill="1" applyBorder="1" applyAlignment="1">
      <alignment horizontal="centerContinuous"/>
    </xf>
    <xf numFmtId="164" fontId="7" fillId="3" borderId="21" xfId="0" applyNumberFormat="1" applyFont="1" applyFill="1" applyBorder="1" applyAlignment="1">
      <alignment horizontal="centerContinuous"/>
    </xf>
    <xf numFmtId="2" fontId="0" fillId="3" borderId="4" xfId="0" applyNumberForma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Continuous"/>
    </xf>
    <xf numFmtId="164" fontId="7" fillId="3" borderId="26" xfId="0" applyNumberFormat="1" applyFont="1" applyFill="1" applyBorder="1" applyAlignment="1">
      <alignment horizontal="centerContinuous"/>
    </xf>
    <xf numFmtId="164" fontId="0" fillId="3" borderId="4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Continuous"/>
    </xf>
    <xf numFmtId="164" fontId="0" fillId="3" borderId="15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Continuous"/>
    </xf>
    <xf numFmtId="164" fontId="0" fillId="3" borderId="20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2" fontId="17" fillId="4" borderId="10" xfId="0" applyNumberFormat="1" applyFont="1" applyFill="1" applyBorder="1" applyAlignment="1">
      <alignment horizontal="center"/>
    </xf>
    <xf numFmtId="2" fontId="17" fillId="4" borderId="12" xfId="0" applyNumberFormat="1" applyFont="1" applyFill="1" applyBorder="1" applyAlignment="1">
      <alignment horizontal="center"/>
    </xf>
    <xf numFmtId="2" fontId="17" fillId="4" borderId="4" xfId="0" applyNumberFormat="1" applyFon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1" fillId="0" borderId="27" xfId="0" applyNumberFormat="1" applyFont="1" applyBorder="1" applyAlignment="1">
      <alignment horizontal="centerContinuous" wrapText="1"/>
    </xf>
    <xf numFmtId="2" fontId="1" fillId="3" borderId="28" xfId="0" applyNumberFormat="1" applyFont="1" applyFill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3" borderId="29" xfId="0" applyNumberFormat="1" applyFont="1" applyFill="1" applyBorder="1" applyAlignment="1">
      <alignment horizontal="center"/>
    </xf>
    <xf numFmtId="2" fontId="1" fillId="3" borderId="30" xfId="0" applyNumberFormat="1" applyFont="1" applyFill="1" applyBorder="1" applyAlignment="1">
      <alignment horizontal="center"/>
    </xf>
    <xf numFmtId="164" fontId="1" fillId="0" borderId="27" xfId="0" applyNumberFormat="1" applyFont="1" applyBorder="1" applyAlignment="1">
      <alignment horizontal="center" wrapText="1"/>
    </xf>
    <xf numFmtId="164" fontId="18" fillId="3" borderId="28" xfId="0" applyNumberFormat="1" applyFont="1" applyFill="1" applyBorder="1" applyAlignment="1">
      <alignment horizontal="center"/>
    </xf>
    <xf numFmtId="164" fontId="18" fillId="0" borderId="29" xfId="0" applyNumberFormat="1" applyFont="1" applyBorder="1" applyAlignment="1">
      <alignment horizontal="center"/>
    </xf>
    <xf numFmtId="164" fontId="18" fillId="3" borderId="29" xfId="0" applyNumberFormat="1" applyFont="1" applyFill="1" applyBorder="1" applyAlignment="1">
      <alignment horizontal="center"/>
    </xf>
    <xf numFmtId="2" fontId="2" fillId="0" borderId="0" xfId="0" applyNumberFormat="1" applyFont="1"/>
    <xf numFmtId="2" fontId="0" fillId="0" borderId="0" xfId="0" applyNumberFormat="1"/>
    <xf numFmtId="2" fontId="1" fillId="0" borderId="3" xfId="0" applyNumberFormat="1" applyFont="1" applyBorder="1" applyAlignment="1">
      <alignment horizontal="centerContinuous" wrapText="1"/>
    </xf>
    <xf numFmtId="164" fontId="1" fillId="3" borderId="15" xfId="0" applyNumberFormat="1" applyFont="1" applyFill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7" fontId="0" fillId="3" borderId="10" xfId="0" applyNumberFormat="1" applyFill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67" fontId="0" fillId="3" borderId="12" xfId="0" applyNumberFormat="1" applyFill="1" applyBorder="1" applyAlignment="1">
      <alignment horizontal="center"/>
    </xf>
    <xf numFmtId="164" fontId="14" fillId="0" borderId="3" xfId="0" applyNumberFormat="1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0" fontId="0" fillId="0" borderId="0" xfId="0" applyBorder="1"/>
    <xf numFmtId="168" fontId="0" fillId="0" borderId="11" xfId="0" applyNumberFormat="1" applyBorder="1" applyAlignment="1">
      <alignment horizontal="center"/>
    </xf>
    <xf numFmtId="168" fontId="0" fillId="3" borderId="11" xfId="0" applyNumberFormat="1" applyFill="1" applyBorder="1" applyAlignment="1">
      <alignment horizontal="center"/>
    </xf>
    <xf numFmtId="168" fontId="0" fillId="3" borderId="6" xfId="0" applyNumberFormat="1" applyFill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168" fontId="0" fillId="3" borderId="9" xfId="0" applyNumberFormat="1" applyFill="1" applyBorder="1" applyAlignment="1">
      <alignment horizontal="right"/>
    </xf>
    <xf numFmtId="168" fontId="0" fillId="0" borderId="31" xfId="0" applyNumberFormat="1" applyBorder="1" applyAlignment="1">
      <alignment horizontal="right"/>
    </xf>
    <xf numFmtId="168" fontId="0" fillId="3" borderId="11" xfId="0" applyNumberFormat="1" applyFill="1" applyBorder="1" applyAlignment="1">
      <alignment horizontal="right" wrapText="1"/>
    </xf>
    <xf numFmtId="2" fontId="0" fillId="3" borderId="19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68" fontId="0" fillId="0" borderId="32" xfId="0" applyNumberFormat="1" applyBorder="1" applyAlignment="1">
      <alignment horizontal="right"/>
    </xf>
    <xf numFmtId="2" fontId="0" fillId="0" borderId="33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2" fontId="0" fillId="0" borderId="34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7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18" fillId="0" borderId="36" xfId="0" applyNumberFormat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168" fontId="0" fillId="3" borderId="13" xfId="0" applyNumberFormat="1" applyFill="1" applyBorder="1" applyAlignment="1">
      <alignment horizontal="right" wrapText="1"/>
    </xf>
    <xf numFmtId="2" fontId="0" fillId="3" borderId="23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5" fontId="0" fillId="3" borderId="14" xfId="0" applyNumberFormat="1" applyFill="1" applyBorder="1" applyAlignment="1">
      <alignment horizontal="center"/>
    </xf>
    <xf numFmtId="167" fontId="0" fillId="3" borderId="14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18" fillId="3" borderId="38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workbookViewId="0">
      <selection activeCell="T13" sqref="T13"/>
    </sheetView>
  </sheetViews>
  <sheetFormatPr defaultRowHeight="15" x14ac:dyDescent="0.25"/>
  <cols>
    <col min="1" max="2" width="8.7109375" customWidth="1"/>
    <col min="3" max="3" width="7.7109375" customWidth="1"/>
    <col min="4" max="4" width="10.5703125" customWidth="1"/>
    <col min="5" max="5" width="10.7109375" style="9" customWidth="1"/>
    <col min="6" max="6" width="12.7109375" style="14" customWidth="1"/>
    <col min="7" max="8" width="12.7109375" style="9" customWidth="1"/>
    <col min="9" max="9" width="8" style="9" customWidth="1"/>
    <col min="10" max="11" width="11.42578125" style="9" customWidth="1"/>
    <col min="12" max="12" width="10.5703125" style="9" customWidth="1"/>
    <col min="13" max="14" width="8.7109375" style="9" customWidth="1"/>
    <col min="15" max="16" width="10.7109375" customWidth="1"/>
    <col min="17" max="17" width="9.140625" style="105"/>
  </cols>
  <sheetData>
    <row r="1" spans="1:18" s="2" customFormat="1" ht="23.25" x14ac:dyDescent="0.35">
      <c r="A1" s="2" t="s">
        <v>103</v>
      </c>
      <c r="E1" s="8"/>
      <c r="F1" s="13"/>
      <c r="G1" s="8"/>
      <c r="H1" s="8"/>
      <c r="I1" s="8"/>
      <c r="J1" s="8"/>
      <c r="K1" s="8"/>
      <c r="L1" s="8"/>
      <c r="M1" s="8"/>
      <c r="N1" s="8"/>
      <c r="Q1" s="104"/>
    </row>
    <row r="2" spans="1:18" ht="21" x14ac:dyDescent="0.35">
      <c r="A2" s="3" t="s">
        <v>102</v>
      </c>
    </row>
    <row r="3" spans="1:18" ht="15.75" thickBot="1" x14ac:dyDescent="0.3"/>
    <row r="4" spans="1:18" ht="65.25" thickTop="1" thickBot="1" x14ac:dyDescent="0.4">
      <c r="A4" s="65" t="s">
        <v>21</v>
      </c>
      <c r="B4" s="62" t="s">
        <v>1</v>
      </c>
      <c r="C4" s="62" t="s">
        <v>0</v>
      </c>
      <c r="D4" s="62" t="s">
        <v>88</v>
      </c>
      <c r="E4" s="62" t="s">
        <v>89</v>
      </c>
      <c r="F4" s="113" t="s">
        <v>10</v>
      </c>
      <c r="G4" s="12" t="s">
        <v>3</v>
      </c>
      <c r="H4" s="10" t="s">
        <v>2</v>
      </c>
      <c r="I4" s="63" t="s">
        <v>101</v>
      </c>
      <c r="J4" s="63" t="s">
        <v>90</v>
      </c>
      <c r="K4" s="10" t="s">
        <v>24</v>
      </c>
      <c r="L4" s="10" t="s">
        <v>26</v>
      </c>
      <c r="M4" s="10" t="s">
        <v>28</v>
      </c>
      <c r="N4" s="10" t="s">
        <v>22</v>
      </c>
      <c r="O4" s="100" t="s">
        <v>92</v>
      </c>
      <c r="P4" s="15" t="s">
        <v>91</v>
      </c>
      <c r="Q4" s="106" t="s">
        <v>97</v>
      </c>
      <c r="R4" s="45" t="s">
        <v>98</v>
      </c>
    </row>
    <row r="5" spans="1:18" ht="15.75" thickTop="1" x14ac:dyDescent="0.25">
      <c r="A5" s="121">
        <v>1960.26</v>
      </c>
      <c r="B5" s="124">
        <v>55.01</v>
      </c>
      <c r="C5" s="66">
        <v>1E-3</v>
      </c>
      <c r="D5" s="67">
        <v>2.69</v>
      </c>
      <c r="E5" s="67">
        <v>22.68</v>
      </c>
      <c r="F5" s="68"/>
      <c r="G5" s="68">
        <f t="shared" ref="G5:G12" si="0">IF(F5&gt;0,(1.3*(E5^2)*(B5+(2*0.5*D5))/(2*32.2*F5)),0)</f>
        <v>0</v>
      </c>
      <c r="H5" s="68">
        <f t="shared" ref="H5:H23" si="1">ROUNDUP(0.7*(2+(0.025*E5*(D5^0.33))),1)</f>
        <v>2</v>
      </c>
      <c r="I5" s="69">
        <v>2.9463E-2</v>
      </c>
      <c r="J5" s="68">
        <v>2.73</v>
      </c>
      <c r="K5" s="68">
        <f t="shared" ref="K5:K12" si="2">(E5*D5)/$I$35</f>
        <v>5000754.0983606558</v>
      </c>
      <c r="L5" s="110">
        <f>12/K5</f>
        <v>2.3996380873704292E-6</v>
      </c>
      <c r="M5" s="68" t="str">
        <f t="shared" ref="M5:M23" si="3">IF(J5&gt;2,IF(I5&gt;L5,"yes","no"),"no")</f>
        <v>yes</v>
      </c>
      <c r="N5" s="93"/>
      <c r="O5" s="101">
        <f t="shared" ref="O5:O21" si="4">ROUNDUP((D5+G5+N5),1)</f>
        <v>2.7</v>
      </c>
      <c r="P5" s="70">
        <f>ROUNDUP(D5,1)+G5+H5+N5</f>
        <v>4.7</v>
      </c>
      <c r="Q5" s="67">
        <v>6012.65</v>
      </c>
      <c r="R5" s="107">
        <f>Q5+P5</f>
        <v>6017.3499999999995</v>
      </c>
    </row>
    <row r="6" spans="1:18" x14ac:dyDescent="0.25">
      <c r="A6" s="122">
        <v>1942.35</v>
      </c>
      <c r="B6" s="125">
        <v>52.15</v>
      </c>
      <c r="C6" s="27">
        <v>1E-3</v>
      </c>
      <c r="D6" s="28">
        <v>2.9</v>
      </c>
      <c r="E6" s="28">
        <v>22.98</v>
      </c>
      <c r="F6" s="29">
        <v>1000</v>
      </c>
      <c r="G6" s="29">
        <f t="shared" si="0"/>
        <v>0.58683344450310548</v>
      </c>
      <c r="H6" s="29">
        <f t="shared" si="1"/>
        <v>2</v>
      </c>
      <c r="I6" s="34">
        <v>2.4421999999999999E-2</v>
      </c>
      <c r="J6" s="29">
        <v>2.57</v>
      </c>
      <c r="K6" s="29">
        <f t="shared" si="2"/>
        <v>5462459.0163934426</v>
      </c>
      <c r="L6" s="111">
        <f>12/K6</f>
        <v>2.1968128207436752E-6</v>
      </c>
      <c r="M6" s="29" t="str">
        <f t="shared" si="3"/>
        <v>yes</v>
      </c>
      <c r="N6" s="57">
        <f>'Roll Waves'!L27</f>
        <v>1.6659533884031019</v>
      </c>
      <c r="O6" s="102">
        <f t="shared" si="4"/>
        <v>5.1999999999999993</v>
      </c>
      <c r="P6" s="35">
        <f t="shared" ref="P6:P23" si="5">ROUNDUP(D6,1)+G6+H6+N6</f>
        <v>7.152786832906207</v>
      </c>
      <c r="Q6" s="28">
        <v>6011.68</v>
      </c>
      <c r="R6" s="108">
        <f t="shared" ref="R6:R17" si="6">Q6+P6</f>
        <v>6018.8327868329061</v>
      </c>
    </row>
    <row r="7" spans="1:18" x14ac:dyDescent="0.25">
      <c r="A7" s="123">
        <v>1899.08</v>
      </c>
      <c r="B7" s="126">
        <v>47.33</v>
      </c>
      <c r="C7" s="72">
        <v>1E-3</v>
      </c>
      <c r="D7" s="73">
        <v>2.63</v>
      </c>
      <c r="E7" s="73">
        <v>25.42</v>
      </c>
      <c r="F7" s="74">
        <v>1000</v>
      </c>
      <c r="G7" s="74">
        <f t="shared" si="0"/>
        <v>0.65167491967701863</v>
      </c>
      <c r="H7" s="74">
        <f t="shared" si="1"/>
        <v>2.1</v>
      </c>
      <c r="I7" s="75">
        <v>2.5669999999999998E-2</v>
      </c>
      <c r="J7" s="74">
        <v>2.92</v>
      </c>
      <c r="K7" s="74">
        <f t="shared" si="2"/>
        <v>5479885.2459016396</v>
      </c>
      <c r="L7" s="112">
        <f>12/K7</f>
        <v>2.1898268780308308E-6</v>
      </c>
      <c r="M7" s="74" t="str">
        <f t="shared" si="3"/>
        <v>yes</v>
      </c>
      <c r="N7" s="88">
        <f>'Roll Waves'!L28</f>
        <v>1.9095954302342109</v>
      </c>
      <c r="O7" s="103">
        <f t="shared" si="4"/>
        <v>5.1999999999999993</v>
      </c>
      <c r="P7" s="76">
        <f>ROUNDUP(D7,1)+G7+H7+N7</f>
        <v>7.36127034991123</v>
      </c>
      <c r="Q7" s="73">
        <v>6008.64</v>
      </c>
      <c r="R7" s="109">
        <f t="shared" si="6"/>
        <v>6016.0012703499115</v>
      </c>
    </row>
    <row r="8" spans="1:18" x14ac:dyDescent="0.25">
      <c r="A8" s="122">
        <v>1887.96</v>
      </c>
      <c r="B8" s="125">
        <v>45.47</v>
      </c>
      <c r="C8" s="27">
        <v>1E-3</v>
      </c>
      <c r="D8" s="28">
        <v>2.64</v>
      </c>
      <c r="E8" s="28">
        <v>25.88</v>
      </c>
      <c r="F8" s="29">
        <v>1000</v>
      </c>
      <c r="G8" s="29">
        <f t="shared" si="0"/>
        <v>0.65046118477018622</v>
      </c>
      <c r="H8" s="29">
        <f t="shared" si="1"/>
        <v>2.1</v>
      </c>
      <c r="I8" s="116">
        <v>2.9534000000000001E-2</v>
      </c>
      <c r="J8" s="29">
        <v>2.95</v>
      </c>
      <c r="K8" s="29">
        <f t="shared" si="2"/>
        <v>5600262.2950819675</v>
      </c>
      <c r="L8" s="111">
        <f t="shared" ref="L8:L22" si="7">12/K8</f>
        <v>2.1427567795419419E-6</v>
      </c>
      <c r="M8" s="29" t="str">
        <f t="shared" si="3"/>
        <v>yes</v>
      </c>
      <c r="N8" s="57">
        <f>'Roll Waves'!L29</f>
        <v>1.9416150185052485</v>
      </c>
      <c r="O8" s="102">
        <f t="shared" si="4"/>
        <v>5.3</v>
      </c>
      <c r="P8" s="35">
        <f t="shared" si="5"/>
        <v>7.392076203275435</v>
      </c>
      <c r="Q8" s="28">
        <v>6007.86</v>
      </c>
      <c r="R8" s="108">
        <f t="shared" si="6"/>
        <v>6015.2520762032755</v>
      </c>
    </row>
    <row r="9" spans="1:18" x14ac:dyDescent="0.25">
      <c r="A9" s="123">
        <v>1858.11</v>
      </c>
      <c r="B9" s="126">
        <v>39.26</v>
      </c>
      <c r="C9" s="72">
        <v>1E-3</v>
      </c>
      <c r="D9" s="73">
        <v>2.77</v>
      </c>
      <c r="E9" s="73">
        <v>26.89</v>
      </c>
      <c r="F9" s="74">
        <v>1000</v>
      </c>
      <c r="G9" s="74">
        <f t="shared" si="0"/>
        <v>0.61347727440838506</v>
      </c>
      <c r="H9" s="74">
        <f t="shared" si="1"/>
        <v>2.1</v>
      </c>
      <c r="I9" s="75">
        <v>2.9826999999999999E-2</v>
      </c>
      <c r="J9" s="74">
        <v>2.97</v>
      </c>
      <c r="K9" s="74">
        <f t="shared" si="2"/>
        <v>6105352.4590163929</v>
      </c>
      <c r="L9" s="112">
        <f>12/K9</f>
        <v>1.9654884923602379E-6</v>
      </c>
      <c r="M9" s="74" t="str">
        <f t="shared" si="3"/>
        <v>yes</v>
      </c>
      <c r="N9" s="88">
        <f>'Roll Waves'!L30</f>
        <v>2.0158655282401687</v>
      </c>
      <c r="O9" s="103">
        <f t="shared" si="4"/>
        <v>5.3999999999999995</v>
      </c>
      <c r="P9" s="76">
        <f t="shared" si="5"/>
        <v>7.5293428026485545</v>
      </c>
      <c r="Q9" s="73">
        <v>6005.77</v>
      </c>
      <c r="R9" s="109">
        <f t="shared" si="6"/>
        <v>6013.2993428026493</v>
      </c>
    </row>
    <row r="10" spans="1:18" x14ac:dyDescent="0.25">
      <c r="A10" s="122">
        <v>1854.79</v>
      </c>
      <c r="B10" s="125">
        <v>38.51</v>
      </c>
      <c r="C10" s="27">
        <v>1E-3</v>
      </c>
      <c r="D10" s="28">
        <v>2.79</v>
      </c>
      <c r="E10" s="28">
        <v>26.99</v>
      </c>
      <c r="F10" s="29">
        <v>1000</v>
      </c>
      <c r="G10" s="29">
        <f t="shared" si="0"/>
        <v>0.60731401815217378</v>
      </c>
      <c r="H10" s="29">
        <f t="shared" si="1"/>
        <v>2.1</v>
      </c>
      <c r="I10" s="34">
        <v>2.9825000000000001E-2</v>
      </c>
      <c r="J10" s="29">
        <v>2.96</v>
      </c>
      <c r="K10" s="29">
        <f t="shared" si="2"/>
        <v>6172303.2786885239</v>
      </c>
      <c r="L10" s="111">
        <f t="shared" si="7"/>
        <v>1.9441688877202629E-6</v>
      </c>
      <c r="M10" s="29" t="str">
        <f t="shared" si="3"/>
        <v>yes</v>
      </c>
      <c r="N10" s="57">
        <f>'Roll Waves'!L31</f>
        <v>2.0154019555675671</v>
      </c>
      <c r="O10" s="102">
        <f t="shared" si="4"/>
        <v>5.5</v>
      </c>
      <c r="P10" s="35">
        <f t="shared" si="5"/>
        <v>7.5227159737197411</v>
      </c>
      <c r="Q10" s="28">
        <v>6005.54</v>
      </c>
      <c r="R10" s="108">
        <f t="shared" si="6"/>
        <v>6013.0627159737196</v>
      </c>
    </row>
    <row r="11" spans="1:18" x14ac:dyDescent="0.25">
      <c r="A11" s="123">
        <v>1850</v>
      </c>
      <c r="B11" s="126">
        <v>37.43</v>
      </c>
      <c r="C11" s="72">
        <v>1E-3</v>
      </c>
      <c r="D11" s="73">
        <v>2.8</v>
      </c>
      <c r="E11" s="73">
        <v>27.13</v>
      </c>
      <c r="F11" s="74">
        <v>1000</v>
      </c>
      <c r="G11" s="74">
        <f t="shared" si="0"/>
        <v>0.5977328234953414</v>
      </c>
      <c r="H11" s="74">
        <f t="shared" si="1"/>
        <v>2.1</v>
      </c>
      <c r="I11" s="75">
        <v>2.9655000000000001E-2</v>
      </c>
      <c r="J11" s="74">
        <v>2.95</v>
      </c>
      <c r="K11" s="74">
        <f t="shared" si="2"/>
        <v>6226557.3770491797</v>
      </c>
      <c r="L11" s="112">
        <f>12/K11</f>
        <v>1.927228687272919E-6</v>
      </c>
      <c r="M11" s="74" t="str">
        <f t="shared" si="3"/>
        <v>yes</v>
      </c>
      <c r="N11" s="88">
        <f>'Roll Waves'!L32</f>
        <v>2.0020019785703709</v>
      </c>
      <c r="O11" s="103">
        <f t="shared" si="4"/>
        <v>5.3999999999999995</v>
      </c>
      <c r="P11" s="76">
        <f t="shared" si="5"/>
        <v>7.4997348020657117</v>
      </c>
      <c r="Q11" s="73">
        <v>6005.2</v>
      </c>
      <c r="R11" s="109">
        <f t="shared" si="6"/>
        <v>6012.6997348020659</v>
      </c>
    </row>
    <row r="12" spans="1:18" x14ac:dyDescent="0.25">
      <c r="A12" s="122">
        <v>1828.98</v>
      </c>
      <c r="B12" s="125">
        <v>32.700000000000003</v>
      </c>
      <c r="C12" s="27">
        <v>1E-3</v>
      </c>
      <c r="D12" s="28">
        <v>3.22</v>
      </c>
      <c r="E12" s="28">
        <v>27.65</v>
      </c>
      <c r="F12" s="29">
        <v>1000</v>
      </c>
      <c r="G12" s="29">
        <f t="shared" si="0"/>
        <v>0.55435004130434773</v>
      </c>
      <c r="H12" s="29">
        <f t="shared" si="1"/>
        <v>2.2000000000000002</v>
      </c>
      <c r="I12" s="34">
        <v>2.8240999999999999E-2</v>
      </c>
      <c r="J12" s="29">
        <v>2.84</v>
      </c>
      <c r="K12" s="29">
        <f t="shared" si="2"/>
        <v>7297786.8852459015</v>
      </c>
      <c r="L12" s="111">
        <f>12/K12</f>
        <v>1.6443341233025956E-6</v>
      </c>
      <c r="M12" s="29" t="str">
        <f t="shared" si="3"/>
        <v>yes</v>
      </c>
      <c r="N12" s="57">
        <f>'Roll Waves'!L33</f>
        <v>2.0556014316140616</v>
      </c>
      <c r="O12" s="102">
        <f t="shared" si="4"/>
        <v>5.8999999999999995</v>
      </c>
      <c r="P12" s="35">
        <f t="shared" si="5"/>
        <v>8.109951472918409</v>
      </c>
      <c r="Q12" s="28">
        <v>6003.78</v>
      </c>
      <c r="R12" s="108">
        <f t="shared" si="6"/>
        <v>6011.8899514729183</v>
      </c>
    </row>
    <row r="13" spans="1:18" x14ac:dyDescent="0.25">
      <c r="A13" s="123">
        <v>1807.37</v>
      </c>
      <c r="B13" s="126">
        <v>27.5</v>
      </c>
      <c r="C13" s="72">
        <v>1E-3</v>
      </c>
      <c r="D13" s="73">
        <v>3.54</v>
      </c>
      <c r="E13" s="73">
        <v>28.29</v>
      </c>
      <c r="F13" s="74">
        <v>1000</v>
      </c>
      <c r="G13" s="74">
        <f t="shared" ref="G13:G22" si="8">IF(F13&gt;0,(1.3*(E13^2)*(B13+(2*0.5*D13))/(2*32.2*F13)),0)</f>
        <v>0.50147015657142846</v>
      </c>
      <c r="H13" s="74">
        <f t="shared" si="1"/>
        <v>2.2000000000000002</v>
      </c>
      <c r="I13" s="75">
        <v>2.6682000000000001E-2</v>
      </c>
      <c r="J13" s="74">
        <v>2.81</v>
      </c>
      <c r="K13" s="74">
        <f>(E13*D13)/$I$35</f>
        <v>8208737.7049180325</v>
      </c>
      <c r="L13" s="112">
        <f t="shared" si="7"/>
        <v>1.4618569177585659E-6</v>
      </c>
      <c r="M13" s="74" t="str">
        <f t="shared" si="3"/>
        <v>yes</v>
      </c>
      <c r="N13" s="88">
        <f>'Roll Waves'!L34</f>
        <v>2.0680748437114387</v>
      </c>
      <c r="O13" s="103">
        <f t="shared" si="4"/>
        <v>6.1999999999999993</v>
      </c>
      <c r="P13" s="76">
        <f t="shared" si="5"/>
        <v>8.3695450002828675</v>
      </c>
      <c r="Q13" s="73">
        <v>6002.33</v>
      </c>
      <c r="R13" s="109">
        <f t="shared" si="6"/>
        <v>6010.6995450002823</v>
      </c>
    </row>
    <row r="14" spans="1:18" x14ac:dyDescent="0.25">
      <c r="A14" s="122">
        <v>1770.07</v>
      </c>
      <c r="B14" s="125">
        <v>21.7</v>
      </c>
      <c r="C14" s="27">
        <v>1E-3</v>
      </c>
      <c r="D14" s="28">
        <v>3.25</v>
      </c>
      <c r="E14" s="28">
        <v>30.2</v>
      </c>
      <c r="F14" s="29">
        <v>1000</v>
      </c>
      <c r="G14" s="29">
        <f>IF(F14&gt;0,(1.3*(E14^2)*(B14+(2*0.5*D14))/(2*32.2*F14)),0)</f>
        <v>0.45934809627329187</v>
      </c>
      <c r="H14" s="29">
        <f t="shared" si="1"/>
        <v>2.2000000000000002</v>
      </c>
      <c r="I14" s="34">
        <v>2.9264999999999999E-2</v>
      </c>
      <c r="J14" s="29">
        <v>3.04</v>
      </c>
      <c r="K14" s="29">
        <f t="shared" ref="K14:K21" si="9">(E14*D14)/$I$35</f>
        <v>8045081.9672131138</v>
      </c>
      <c r="L14" s="111">
        <f>12/K14</f>
        <v>1.4915944982170149E-6</v>
      </c>
      <c r="M14" s="29" t="str">
        <f t="shared" si="3"/>
        <v>yes</v>
      </c>
      <c r="N14" s="57">
        <f>'Roll Waves'!L35</f>
        <v>2.138102917169117</v>
      </c>
      <c r="O14" s="102">
        <f t="shared" si="4"/>
        <v>5.8999999999999995</v>
      </c>
      <c r="P14" s="35">
        <f t="shared" si="5"/>
        <v>8.0974510134424094</v>
      </c>
      <c r="Q14" s="28">
        <v>5999.82</v>
      </c>
      <c r="R14" s="108">
        <f t="shared" si="6"/>
        <v>6007.9174510134417</v>
      </c>
    </row>
    <row r="15" spans="1:18" x14ac:dyDescent="0.25">
      <c r="A15" s="123">
        <v>1765.9</v>
      </c>
      <c r="B15" s="126">
        <v>21.16</v>
      </c>
      <c r="C15" s="72">
        <v>1E-3</v>
      </c>
      <c r="D15" s="73">
        <v>3.31</v>
      </c>
      <c r="E15" s="73">
        <v>30.28</v>
      </c>
      <c r="F15" s="74">
        <v>1000</v>
      </c>
      <c r="G15" s="74">
        <f t="shared" si="8"/>
        <v>0.45290091277018635</v>
      </c>
      <c r="H15" s="74">
        <f t="shared" si="1"/>
        <v>2.2000000000000002</v>
      </c>
      <c r="I15" s="75">
        <v>3.2249E-2</v>
      </c>
      <c r="J15" s="74">
        <v>2.97</v>
      </c>
      <c r="K15" s="74">
        <f t="shared" si="9"/>
        <v>8215311.4754098365</v>
      </c>
      <c r="L15" s="112">
        <f t="shared" si="7"/>
        <v>1.4606871615176779E-6</v>
      </c>
      <c r="M15" s="74" t="str">
        <f t="shared" si="3"/>
        <v>yes</v>
      </c>
      <c r="N15" s="88">
        <f>'Roll Waves'!L36</f>
        <v>2.0463788105415013</v>
      </c>
      <c r="O15" s="103">
        <f t="shared" si="4"/>
        <v>5.8999999999999995</v>
      </c>
      <c r="P15" s="76">
        <f t="shared" si="5"/>
        <v>8.0992797233116871</v>
      </c>
      <c r="Q15" s="73">
        <v>5999.54</v>
      </c>
      <c r="R15" s="109">
        <f t="shared" si="6"/>
        <v>6007.639279723312</v>
      </c>
    </row>
    <row r="16" spans="1:18" x14ac:dyDescent="0.25">
      <c r="A16" s="122">
        <v>1763.38</v>
      </c>
      <c r="B16" s="125">
        <v>20.86</v>
      </c>
      <c r="C16" s="27">
        <v>1E-3</v>
      </c>
      <c r="D16" s="28">
        <v>3.41</v>
      </c>
      <c r="E16" s="28">
        <v>30.28</v>
      </c>
      <c r="F16" s="29">
        <v>1000</v>
      </c>
      <c r="G16" s="29">
        <f t="shared" si="8"/>
        <v>0.44919922978881988</v>
      </c>
      <c r="H16" s="29">
        <f t="shared" si="1"/>
        <v>2.2000000000000002</v>
      </c>
      <c r="I16" s="34">
        <v>3.1342000000000002E-2</v>
      </c>
      <c r="J16" s="29">
        <v>2.93</v>
      </c>
      <c r="K16" s="29">
        <f t="shared" si="9"/>
        <v>8463508.1967213117</v>
      </c>
      <c r="L16" s="111">
        <f t="shared" si="7"/>
        <v>1.4178517608866609E-6</v>
      </c>
      <c r="M16" s="29" t="str">
        <f t="shared" si="3"/>
        <v>yes</v>
      </c>
      <c r="N16" s="57">
        <f>'Roll Waves'!L37</f>
        <v>2.0167951189857467</v>
      </c>
      <c r="O16" s="102">
        <f t="shared" si="4"/>
        <v>5.8999999999999995</v>
      </c>
      <c r="P16" s="35">
        <f t="shared" si="5"/>
        <v>8.1659943487745679</v>
      </c>
      <c r="Q16" s="28">
        <v>5999.37</v>
      </c>
      <c r="R16" s="108">
        <f t="shared" si="6"/>
        <v>6007.5359943487747</v>
      </c>
    </row>
    <row r="17" spans="1:18" ht="15.75" thickBot="1" x14ac:dyDescent="0.3">
      <c r="A17" s="137">
        <v>1750</v>
      </c>
      <c r="B17" s="138">
        <v>19.7</v>
      </c>
      <c r="C17" s="139">
        <v>1E-3</v>
      </c>
      <c r="D17" s="140">
        <v>4.09</v>
      </c>
      <c r="E17" s="140">
        <v>30.1</v>
      </c>
      <c r="F17" s="141"/>
      <c r="G17" s="141">
        <f>IF(F17&gt;0,(1.3*(E17^2)*(B17+(2*0.5*D17))/(2*32.2*F17)),0)</f>
        <v>0</v>
      </c>
      <c r="H17" s="141">
        <f t="shared" si="1"/>
        <v>2.3000000000000003</v>
      </c>
      <c r="I17" s="142">
        <v>2.8399000000000001E-2</v>
      </c>
      <c r="J17" s="141">
        <v>2.64</v>
      </c>
      <c r="K17" s="141">
        <f t="shared" si="9"/>
        <v>10090901.639344262</v>
      </c>
      <c r="L17" s="143">
        <f>12/K17</f>
        <v>1.1891900673386999E-6</v>
      </c>
      <c r="M17" s="141" t="str">
        <f t="shared" si="3"/>
        <v>yes</v>
      </c>
      <c r="N17" s="144">
        <f>'Roll Waves'!L38</f>
        <v>1.5389110302953541</v>
      </c>
      <c r="O17" s="145">
        <f t="shared" si="4"/>
        <v>5.6999999999999993</v>
      </c>
      <c r="P17" s="146">
        <f t="shared" si="5"/>
        <v>7.9389110302953547</v>
      </c>
      <c r="Q17" s="73">
        <v>5998.47</v>
      </c>
      <c r="R17" s="109">
        <f t="shared" si="6"/>
        <v>6006.4089110302957</v>
      </c>
    </row>
    <row r="18" spans="1:18" ht="15.75" hidden="1" thickBot="1" x14ac:dyDescent="0.3">
      <c r="A18" s="127"/>
      <c r="B18" s="128"/>
      <c r="C18" s="129"/>
      <c r="D18" s="130"/>
      <c r="E18" s="130"/>
      <c r="F18" s="131"/>
      <c r="G18" s="131">
        <f>IF(F18&gt;0,(1.3*(E18^2)*(B18+(2*0.5*D18))/(2*32.2*F18)),0)</f>
        <v>0</v>
      </c>
      <c r="H18" s="131">
        <f t="shared" si="1"/>
        <v>1.4</v>
      </c>
      <c r="I18" s="132"/>
      <c r="J18" s="131"/>
      <c r="K18" s="131">
        <f>(E18*D18)/$I$35</f>
        <v>0</v>
      </c>
      <c r="L18" s="133" t="e">
        <f>12/K18</f>
        <v>#DIV/0!</v>
      </c>
      <c r="M18" s="131" t="str">
        <f t="shared" si="3"/>
        <v>no</v>
      </c>
      <c r="N18" s="134" t="e">
        <f>'Roll Waves'!L39</f>
        <v>#DIV/0!</v>
      </c>
      <c r="O18" s="135" t="e">
        <f t="shared" si="4"/>
        <v>#DIV/0!</v>
      </c>
      <c r="P18" s="136" t="e">
        <f t="shared" si="5"/>
        <v>#DIV/0!</v>
      </c>
      <c r="Q18" s="28"/>
      <c r="R18" s="108" t="e">
        <f>Q18+O18</f>
        <v>#DIV/0!</v>
      </c>
    </row>
    <row r="19" spans="1:18" hidden="1" x14ac:dyDescent="0.25">
      <c r="A19" s="71"/>
      <c r="B19" s="114"/>
      <c r="C19" s="72"/>
      <c r="D19" s="73"/>
      <c r="E19" s="73"/>
      <c r="F19" s="74"/>
      <c r="G19" s="74">
        <f>IF(F19&gt;0,(1.3*(E19^2)*(B19+(2*0.5*D19))/(2*32.2*F19)),0)</f>
        <v>0</v>
      </c>
      <c r="H19" s="74">
        <f t="shared" si="1"/>
        <v>1.4</v>
      </c>
      <c r="I19" s="75"/>
      <c r="J19" s="74"/>
      <c r="K19" s="74">
        <f t="shared" si="9"/>
        <v>0</v>
      </c>
      <c r="L19" s="112" t="e">
        <f>12/K19</f>
        <v>#DIV/0!</v>
      </c>
      <c r="M19" s="74" t="str">
        <f t="shared" si="3"/>
        <v>no</v>
      </c>
      <c r="N19" s="88" t="e">
        <f>'Roll Waves'!L40</f>
        <v>#DIV/0!</v>
      </c>
      <c r="O19" s="103" t="e">
        <f t="shared" si="4"/>
        <v>#DIV/0!</v>
      </c>
      <c r="P19" s="76" t="e">
        <f t="shared" si="5"/>
        <v>#DIV/0!</v>
      </c>
      <c r="Q19" s="73"/>
      <c r="R19" s="109" t="e">
        <f t="shared" ref="R6:R21" si="10">Q19+O19</f>
        <v>#DIV/0!</v>
      </c>
    </row>
    <row r="20" spans="1:18" hidden="1" x14ac:dyDescent="0.25">
      <c r="A20" s="26"/>
      <c r="B20" s="27"/>
      <c r="C20" s="27"/>
      <c r="D20" s="28"/>
      <c r="E20" s="28"/>
      <c r="F20" s="29"/>
      <c r="G20" s="29">
        <f>IF(F20&gt;0,(1.3*(E20^2)*(B20+(2*0.5*D20))/(2*32.2*F20)),0)</f>
        <v>0</v>
      </c>
      <c r="H20" s="29">
        <f t="shared" si="1"/>
        <v>1.4</v>
      </c>
      <c r="I20" s="34"/>
      <c r="J20" s="29"/>
      <c r="K20" s="29">
        <f t="shared" si="9"/>
        <v>0</v>
      </c>
      <c r="L20" s="111" t="e">
        <f>12/K20</f>
        <v>#DIV/0!</v>
      </c>
      <c r="M20" s="29" t="str">
        <f t="shared" si="3"/>
        <v>no</v>
      </c>
      <c r="N20" s="57"/>
      <c r="O20" s="102">
        <f t="shared" si="4"/>
        <v>0</v>
      </c>
      <c r="P20" s="35">
        <f t="shared" si="5"/>
        <v>1.4</v>
      </c>
      <c r="Q20" s="28"/>
      <c r="R20" s="108">
        <f t="shared" si="10"/>
        <v>0</v>
      </c>
    </row>
    <row r="21" spans="1:18" hidden="1" x14ac:dyDescent="0.25">
      <c r="A21" s="71"/>
      <c r="B21" s="72"/>
      <c r="C21" s="72"/>
      <c r="D21" s="73"/>
      <c r="E21" s="73"/>
      <c r="F21" s="74"/>
      <c r="G21" s="74">
        <f t="shared" si="8"/>
        <v>0</v>
      </c>
      <c r="H21" s="74">
        <f t="shared" si="1"/>
        <v>1.4</v>
      </c>
      <c r="I21" s="75"/>
      <c r="J21" s="74"/>
      <c r="K21" s="74">
        <f t="shared" si="9"/>
        <v>0</v>
      </c>
      <c r="L21" s="112" t="e">
        <f t="shared" si="7"/>
        <v>#DIV/0!</v>
      </c>
      <c r="M21" s="74" t="str">
        <f t="shared" si="3"/>
        <v>no</v>
      </c>
      <c r="N21" s="88" t="e">
        <f>'Roll Waves'!L42</f>
        <v>#DIV/0!</v>
      </c>
      <c r="O21" s="103" t="e">
        <f t="shared" si="4"/>
        <v>#DIV/0!</v>
      </c>
      <c r="P21" s="76" t="e">
        <f t="shared" si="5"/>
        <v>#DIV/0!</v>
      </c>
      <c r="Q21" s="73"/>
      <c r="R21" s="109" t="e">
        <f t="shared" si="10"/>
        <v>#DIV/0!</v>
      </c>
    </row>
    <row r="22" spans="1:18" hidden="1" x14ac:dyDescent="0.25">
      <c r="A22" s="26"/>
      <c r="B22" s="27"/>
      <c r="C22" s="27"/>
      <c r="D22" s="28"/>
      <c r="E22" s="28"/>
      <c r="F22" s="29"/>
      <c r="G22" s="29">
        <f t="shared" si="8"/>
        <v>0</v>
      </c>
      <c r="H22" s="29">
        <f t="shared" si="1"/>
        <v>1.4</v>
      </c>
      <c r="I22" s="34"/>
      <c r="J22" s="29"/>
      <c r="K22" s="29">
        <f>(D22*C22)/$I$35</f>
        <v>0</v>
      </c>
      <c r="L22" s="111" t="e">
        <f t="shared" si="7"/>
        <v>#DIV/0!</v>
      </c>
      <c r="M22" s="29" t="str">
        <f t="shared" si="3"/>
        <v>no</v>
      </c>
      <c r="N22" s="57" t="e">
        <f>'Roll Waves'!L43</f>
        <v>#DIV/0!</v>
      </c>
      <c r="O22" s="102" t="e">
        <f>ROUNDUP(C22,1)+F22+G22+M22</f>
        <v>#VALUE!</v>
      </c>
      <c r="P22" s="35" t="e">
        <f t="shared" si="5"/>
        <v>#DIV/0!</v>
      </c>
      <c r="Q22" s="28"/>
      <c r="R22" s="108"/>
    </row>
    <row r="23" spans="1:18" ht="15.75" hidden="1" thickBot="1" x14ac:dyDescent="0.3">
      <c r="A23" s="71"/>
      <c r="B23" s="72"/>
      <c r="C23" s="72"/>
      <c r="D23" s="73"/>
      <c r="E23" s="73"/>
      <c r="F23" s="74"/>
      <c r="G23" s="74">
        <f>IF(F23&gt;0,(1.3*(E23^2)*(B23+(2*0.5*D23))/(2*32.2*F23)),0)</f>
        <v>0</v>
      </c>
      <c r="H23" s="74">
        <f t="shared" si="1"/>
        <v>1.4</v>
      </c>
      <c r="I23" s="75"/>
      <c r="J23" s="74"/>
      <c r="K23" s="74">
        <f>(D23*C23)/$I$35</f>
        <v>0</v>
      </c>
      <c r="L23" s="112" t="e">
        <f>12/K23</f>
        <v>#DIV/0!</v>
      </c>
      <c r="M23" s="74" t="str">
        <f t="shared" si="3"/>
        <v>no</v>
      </c>
      <c r="N23" s="88" t="e">
        <f>'Roll Waves'!L44</f>
        <v>#DIV/0!</v>
      </c>
      <c r="O23" s="103" t="e">
        <f>ROUNDUP(C23,1)+F23+G23+M23</f>
        <v>#VALUE!</v>
      </c>
      <c r="P23" s="76" t="e">
        <f t="shared" si="5"/>
        <v>#DIV/0!</v>
      </c>
      <c r="Q23" s="73"/>
      <c r="R23" s="109"/>
    </row>
    <row r="24" spans="1:18" ht="15.75" thickTop="1" x14ac:dyDescent="0.25">
      <c r="A24" s="21"/>
      <c r="B24" s="21"/>
      <c r="C24" s="22"/>
      <c r="D24" s="22"/>
      <c r="E24" s="23"/>
      <c r="F24" s="23"/>
      <c r="G24" s="24"/>
      <c r="H24" s="24"/>
      <c r="I24" s="23"/>
      <c r="J24" s="23"/>
      <c r="K24" s="23"/>
      <c r="L24" s="23"/>
      <c r="M24" s="23"/>
      <c r="N24" s="23"/>
      <c r="O24" s="25"/>
      <c r="P24" s="25"/>
    </row>
    <row r="25" spans="1:18" x14ac:dyDescent="0.25">
      <c r="A25" s="1" t="s">
        <v>11</v>
      </c>
    </row>
    <row r="26" spans="1:18" x14ac:dyDescent="0.25">
      <c r="A26" s="6" t="s">
        <v>93</v>
      </c>
      <c r="B26" s="7"/>
      <c r="C26" s="7"/>
      <c r="D26" s="7"/>
      <c r="E26" s="11"/>
      <c r="G26" s="11"/>
      <c r="H26" s="11"/>
      <c r="I26" s="11"/>
      <c r="J26" s="11"/>
      <c r="K26" s="11"/>
      <c r="L26" s="11"/>
      <c r="M26" s="11"/>
      <c r="N26" s="11"/>
      <c r="O26" s="7"/>
      <c r="P26" s="7"/>
    </row>
    <row r="27" spans="1:18" x14ac:dyDescent="0.25">
      <c r="A27" s="6" t="s">
        <v>5</v>
      </c>
      <c r="B27" s="7"/>
      <c r="C27" s="7"/>
      <c r="D27" s="7"/>
      <c r="E27" s="11"/>
      <c r="G27" s="11"/>
      <c r="H27" s="11"/>
      <c r="I27" s="11"/>
      <c r="J27" s="11"/>
      <c r="K27" s="11"/>
      <c r="L27" s="11"/>
      <c r="M27" s="11"/>
      <c r="N27" s="11"/>
      <c r="O27" s="7"/>
      <c r="P27" s="7"/>
    </row>
    <row r="28" spans="1:18" x14ac:dyDescent="0.25">
      <c r="A28" s="1" t="s">
        <v>4</v>
      </c>
    </row>
    <row r="29" spans="1:18" ht="17.25" x14ac:dyDescent="0.25">
      <c r="B29" t="s">
        <v>100</v>
      </c>
    </row>
    <row r="30" spans="1:18" x14ac:dyDescent="0.25">
      <c r="A30" t="s">
        <v>94</v>
      </c>
    </row>
    <row r="31" spans="1:18" ht="17.25" x14ac:dyDescent="0.25">
      <c r="B31" t="s">
        <v>6</v>
      </c>
      <c r="E31" t="s">
        <v>7</v>
      </c>
      <c r="F31" t="s">
        <v>8</v>
      </c>
    </row>
    <row r="32" spans="1:18" x14ac:dyDescent="0.25">
      <c r="E32"/>
      <c r="F32" t="s">
        <v>14</v>
      </c>
    </row>
    <row r="33" spans="1:9" x14ac:dyDescent="0.25">
      <c r="E33"/>
      <c r="F33" t="s">
        <v>9</v>
      </c>
    </row>
    <row r="34" spans="1:9" x14ac:dyDescent="0.25">
      <c r="A34" t="s">
        <v>23</v>
      </c>
    </row>
    <row r="35" spans="1:9" ht="19.5" x14ac:dyDescent="0.4">
      <c r="B35" t="s">
        <v>25</v>
      </c>
      <c r="E35" t="s">
        <v>7</v>
      </c>
      <c r="F35" t="s">
        <v>27</v>
      </c>
      <c r="G35"/>
      <c r="I35" s="33">
        <v>1.22E-5</v>
      </c>
    </row>
    <row r="36" spans="1:9" ht="18" x14ac:dyDescent="0.4">
      <c r="A36" t="s">
        <v>95</v>
      </c>
      <c r="H36" s="32"/>
    </row>
    <row r="37" spans="1:9" ht="18" x14ac:dyDescent="0.4">
      <c r="H37" s="32"/>
    </row>
    <row r="38" spans="1:9" ht="18" x14ac:dyDescent="0.4">
      <c r="H38" s="32"/>
    </row>
    <row r="39" spans="1:9" ht="18" x14ac:dyDescent="0.4">
      <c r="H39" s="32"/>
    </row>
    <row r="40" spans="1:9" ht="18" x14ac:dyDescent="0.4">
      <c r="H40" s="32"/>
    </row>
    <row r="41" spans="1:9" ht="18" x14ac:dyDescent="0.4">
      <c r="H41" s="32"/>
    </row>
    <row r="42" spans="1:9" ht="18" x14ac:dyDescent="0.4">
      <c r="H42" s="32"/>
    </row>
    <row r="43" spans="1:9" ht="18" x14ac:dyDescent="0.4">
      <c r="H43" s="32"/>
    </row>
    <row r="44" spans="1:9" ht="18" x14ac:dyDescent="0.4">
      <c r="H44" s="32"/>
    </row>
    <row r="45" spans="1:9" ht="18" x14ac:dyDescent="0.4">
      <c r="H45" s="32"/>
    </row>
    <row r="46" spans="1:9" ht="18" x14ac:dyDescent="0.4">
      <c r="H46" s="32"/>
    </row>
    <row r="47" spans="1:9" ht="18" x14ac:dyDescent="0.4">
      <c r="H47" s="32"/>
    </row>
    <row r="48" spans="1:9" ht="18" x14ac:dyDescent="0.4">
      <c r="H48" s="32"/>
    </row>
    <row r="49" spans="8:8" ht="18" x14ac:dyDescent="0.4">
      <c r="H49" s="32"/>
    </row>
    <row r="50" spans="8:8" ht="18" x14ac:dyDescent="0.4">
      <c r="H50" s="32"/>
    </row>
    <row r="51" spans="8:8" ht="18" x14ac:dyDescent="0.4">
      <c r="H51" s="32"/>
    </row>
    <row r="52" spans="8:8" ht="18" x14ac:dyDescent="0.4">
      <c r="H52" s="32"/>
    </row>
    <row r="53" spans="8:8" ht="18" x14ac:dyDescent="0.4">
      <c r="H53" s="32"/>
    </row>
    <row r="54" spans="8:8" ht="18" x14ac:dyDescent="0.4">
      <c r="H54" s="32"/>
    </row>
  </sheetData>
  <printOptions horizontalCentered="1" verticalCentered="1"/>
  <pageMargins left="1" right="1" top="1" bottom="1" header="0.5" footer="0.5"/>
  <pageSetup paperSize="3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workbookViewId="0">
      <selection activeCell="F36" sqref="F36"/>
    </sheetView>
  </sheetViews>
  <sheetFormatPr defaultRowHeight="15" x14ac:dyDescent="0.25"/>
  <cols>
    <col min="1" max="1" width="8.7109375" customWidth="1"/>
    <col min="2" max="2" width="10.85546875" customWidth="1"/>
    <col min="3" max="3" width="7.7109375" customWidth="1"/>
    <col min="4" max="4" width="3.42578125" customWidth="1"/>
    <col min="5" max="5" width="6.85546875" customWidth="1"/>
    <col min="6" max="6" width="10.7109375" style="9" customWidth="1"/>
    <col min="7" max="7" width="8" style="9" customWidth="1"/>
    <col min="8" max="8" width="11.42578125" style="9" customWidth="1"/>
    <col min="9" max="9" width="9.7109375" style="9" customWidth="1"/>
    <col min="10" max="10" width="10.42578125" style="9" customWidth="1"/>
    <col min="11" max="11" width="10.140625" style="9" customWidth="1"/>
    <col min="12" max="12" width="13.5703125" style="9" customWidth="1"/>
    <col min="13" max="14" width="8.7109375" style="9" customWidth="1"/>
    <col min="15" max="15" width="10.7109375" customWidth="1"/>
  </cols>
  <sheetData>
    <row r="1" spans="1:14" s="2" customFormat="1" ht="23.25" x14ac:dyDescent="0.35">
      <c r="A1" s="2" t="s">
        <v>103</v>
      </c>
      <c r="F1" s="8"/>
      <c r="G1" s="8"/>
      <c r="H1" s="8"/>
      <c r="I1" s="8"/>
      <c r="J1" s="8"/>
      <c r="K1" s="8"/>
      <c r="L1" s="8"/>
      <c r="M1" s="8"/>
      <c r="N1" s="8"/>
    </row>
    <row r="2" spans="1:14" ht="21" x14ac:dyDescent="0.35">
      <c r="A2" s="3" t="s">
        <v>96</v>
      </c>
    </row>
    <row r="3" spans="1:14" ht="15.75" thickBot="1" x14ac:dyDescent="0.3"/>
    <row r="4" spans="1:14" ht="70.5" thickTop="1" thickBot="1" x14ac:dyDescent="0.4">
      <c r="A4" s="4" t="s">
        <v>21</v>
      </c>
      <c r="B4" s="5" t="s">
        <v>86</v>
      </c>
      <c r="C4" s="5" t="s">
        <v>63</v>
      </c>
      <c r="D4" s="39" t="s">
        <v>64</v>
      </c>
      <c r="E4" s="39"/>
      <c r="F4" s="5" t="s">
        <v>65</v>
      </c>
      <c r="G4" s="10" t="s">
        <v>67</v>
      </c>
      <c r="H4" s="10" t="s">
        <v>68</v>
      </c>
      <c r="I4" s="12" t="s">
        <v>66</v>
      </c>
      <c r="J4" s="12" t="s">
        <v>69</v>
      </c>
      <c r="K4" s="58"/>
      <c r="L4" s="59"/>
      <c r="N4"/>
    </row>
    <row r="5" spans="1:14" ht="15.75" thickTop="1" x14ac:dyDescent="0.25">
      <c r="A5" s="115">
        <f>'Depth Requirement'!$A$5</f>
        <v>1960.26</v>
      </c>
      <c r="B5" s="66">
        <f>'Depth Requirement'!$B5</f>
        <v>55.01</v>
      </c>
      <c r="C5" s="66">
        <f>'Depth Requirement'!$C5</f>
        <v>1E-3</v>
      </c>
      <c r="D5" s="85">
        <f>'Depth Requirement'!$D5</f>
        <v>2.69</v>
      </c>
      <c r="E5" s="85"/>
      <c r="F5" s="67">
        <f>'Depth Requirement'!$E5</f>
        <v>22.68</v>
      </c>
      <c r="G5" s="69">
        <f>'Depth Requirement'!$I5</f>
        <v>2.9463E-2</v>
      </c>
      <c r="H5" s="68">
        <f>'Depth Requirement'!$J5</f>
        <v>2.73</v>
      </c>
      <c r="I5" s="68">
        <f>D5*(B5+(D5*C5))</f>
        <v>147.9841361</v>
      </c>
      <c r="J5" s="86">
        <f t="shared" ref="J5:J23" si="0">(G5*D5)/$G$49</f>
        <v>6496.3499999999995</v>
      </c>
      <c r="K5" s="60"/>
      <c r="L5" s="43"/>
      <c r="N5"/>
    </row>
    <row r="6" spans="1:14" x14ac:dyDescent="0.25">
      <c r="A6" s="117">
        <f>'Depth Requirement'!$A$6</f>
        <v>1942.35</v>
      </c>
      <c r="B6" s="27">
        <f>'Depth Requirement'!$B6</f>
        <v>52.15</v>
      </c>
      <c r="C6" s="27">
        <f>'Depth Requirement'!$C6</f>
        <v>1E-3</v>
      </c>
      <c r="D6" s="40">
        <f>'Depth Requirement'!$D6</f>
        <v>2.9</v>
      </c>
      <c r="E6" s="40"/>
      <c r="F6" s="28">
        <f>'Depth Requirement'!$E6</f>
        <v>22.98</v>
      </c>
      <c r="G6" s="34">
        <f>'Depth Requirement'!$I6</f>
        <v>2.4421999999999999E-2</v>
      </c>
      <c r="H6" s="29">
        <f>'Depth Requirement'!$J6</f>
        <v>2.57</v>
      </c>
      <c r="I6" s="29">
        <f>D6*(B6+(D6*C6))</f>
        <v>151.24340999999998</v>
      </c>
      <c r="J6" s="61">
        <f t="shared" si="0"/>
        <v>5805.2295081967204</v>
      </c>
      <c r="K6" s="60"/>
      <c r="L6" s="43"/>
      <c r="N6"/>
    </row>
    <row r="7" spans="1:14" x14ac:dyDescent="0.25">
      <c r="A7" s="118">
        <f>'Depth Requirement'!$A$7</f>
        <v>1899.08</v>
      </c>
      <c r="B7" s="72">
        <f>'Depth Requirement'!$B7</f>
        <v>47.33</v>
      </c>
      <c r="C7" s="72">
        <f>'Depth Requirement'!$C7</f>
        <v>1E-3</v>
      </c>
      <c r="D7" s="87">
        <f>'Depth Requirement'!$D7</f>
        <v>2.63</v>
      </c>
      <c r="E7" s="87"/>
      <c r="F7" s="73">
        <f>'Depth Requirement'!$E7</f>
        <v>25.42</v>
      </c>
      <c r="G7" s="75">
        <f>'Depth Requirement'!$I7</f>
        <v>2.5669999999999998E-2</v>
      </c>
      <c r="H7" s="74">
        <f>'Depth Requirement'!$J7</f>
        <v>2.92</v>
      </c>
      <c r="I7" s="74">
        <f>D7*(B7+(D7*C7))</f>
        <v>124.4848169</v>
      </c>
      <c r="J7" s="88">
        <f t="shared" si="0"/>
        <v>5533.7786885245896</v>
      </c>
      <c r="K7" s="60"/>
      <c r="L7" s="43"/>
      <c r="N7"/>
    </row>
    <row r="8" spans="1:14" x14ac:dyDescent="0.25">
      <c r="A8" s="117">
        <f>'Depth Requirement'!$A$8</f>
        <v>1887.96</v>
      </c>
      <c r="B8" s="27">
        <f>'Depth Requirement'!$B8</f>
        <v>45.47</v>
      </c>
      <c r="C8" s="27">
        <f>'Depth Requirement'!$C8</f>
        <v>1E-3</v>
      </c>
      <c r="D8" s="40">
        <f>'Depth Requirement'!$D8</f>
        <v>2.64</v>
      </c>
      <c r="E8" s="40"/>
      <c r="F8" s="28">
        <f>'Depth Requirement'!$E8</f>
        <v>25.88</v>
      </c>
      <c r="G8" s="34">
        <f>'Depth Requirement'!$I8</f>
        <v>2.9534000000000001E-2</v>
      </c>
      <c r="H8" s="29">
        <f>'Depth Requirement'!$J8</f>
        <v>2.95</v>
      </c>
      <c r="I8" s="29">
        <f t="shared" ref="I8:I16" si="1">D8*(B8+(D8*C8))</f>
        <v>120.0477696</v>
      </c>
      <c r="J8" s="57">
        <f t="shared" si="0"/>
        <v>6390.9639344262305</v>
      </c>
      <c r="K8" s="60"/>
      <c r="L8" s="43"/>
      <c r="N8"/>
    </row>
    <row r="9" spans="1:14" x14ac:dyDescent="0.25">
      <c r="A9" s="118">
        <f>'Depth Requirement'!$A$9</f>
        <v>1858.11</v>
      </c>
      <c r="B9" s="72">
        <f>'Depth Requirement'!$B9</f>
        <v>39.26</v>
      </c>
      <c r="C9" s="72">
        <f>'Depth Requirement'!$C9</f>
        <v>1E-3</v>
      </c>
      <c r="D9" s="87">
        <f>'Depth Requirement'!$D9</f>
        <v>2.77</v>
      </c>
      <c r="E9" s="87"/>
      <c r="F9" s="73">
        <f>'Depth Requirement'!$E9</f>
        <v>26.89</v>
      </c>
      <c r="G9" s="75">
        <f>'Depth Requirement'!$I9</f>
        <v>2.9826999999999999E-2</v>
      </c>
      <c r="H9" s="74">
        <f>'Depth Requirement'!$J9</f>
        <v>2.97</v>
      </c>
      <c r="I9" s="74">
        <f>D9*(B9+(D9*C9))</f>
        <v>108.7578729</v>
      </c>
      <c r="J9" s="88">
        <f t="shared" si="0"/>
        <v>6772.1959016393439</v>
      </c>
      <c r="K9" s="60"/>
      <c r="L9" s="43"/>
      <c r="N9"/>
    </row>
    <row r="10" spans="1:14" x14ac:dyDescent="0.25">
      <c r="A10" s="117">
        <f>'Depth Requirement'!$A$10</f>
        <v>1854.79</v>
      </c>
      <c r="B10" s="27">
        <f>'Depth Requirement'!$B10</f>
        <v>38.51</v>
      </c>
      <c r="C10" s="27">
        <f>'Depth Requirement'!$C10</f>
        <v>1E-3</v>
      </c>
      <c r="D10" s="40">
        <f>'Depth Requirement'!$D10</f>
        <v>2.79</v>
      </c>
      <c r="E10" s="40"/>
      <c r="F10" s="28">
        <f>'Depth Requirement'!$E10</f>
        <v>26.99</v>
      </c>
      <c r="G10" s="34">
        <f>'Depth Requirement'!$I10</f>
        <v>2.9825000000000001E-2</v>
      </c>
      <c r="H10" s="29">
        <f>'Depth Requirement'!$J10</f>
        <v>2.96</v>
      </c>
      <c r="I10" s="29">
        <f t="shared" si="1"/>
        <v>107.45068409999999</v>
      </c>
      <c r="J10" s="57">
        <f t="shared" si="0"/>
        <v>6820.6352459016398</v>
      </c>
      <c r="K10" s="60"/>
      <c r="L10" s="43"/>
      <c r="N10"/>
    </row>
    <row r="11" spans="1:14" x14ac:dyDescent="0.25">
      <c r="A11" s="118">
        <f>'Depth Requirement'!$A$11</f>
        <v>1850</v>
      </c>
      <c r="B11" s="72">
        <f>'Depth Requirement'!$B11</f>
        <v>37.43</v>
      </c>
      <c r="C11" s="72">
        <f>'Depth Requirement'!$C11</f>
        <v>1E-3</v>
      </c>
      <c r="D11" s="87">
        <f>'Depth Requirement'!$D11</f>
        <v>2.8</v>
      </c>
      <c r="E11" s="87"/>
      <c r="F11" s="73">
        <f>'Depth Requirement'!$E11</f>
        <v>27.13</v>
      </c>
      <c r="G11" s="75">
        <f>'Depth Requirement'!$I11</f>
        <v>2.9655000000000001E-2</v>
      </c>
      <c r="H11" s="74">
        <f>'Depth Requirement'!$J11</f>
        <v>2.95</v>
      </c>
      <c r="I11" s="74">
        <f t="shared" si="1"/>
        <v>104.81183999999999</v>
      </c>
      <c r="J11" s="88">
        <f t="shared" si="0"/>
        <v>6806.0655737704919</v>
      </c>
      <c r="K11" s="60"/>
      <c r="L11" s="43"/>
      <c r="N11"/>
    </row>
    <row r="12" spans="1:14" x14ac:dyDescent="0.25">
      <c r="A12" s="117">
        <f>'Depth Requirement'!$A$12</f>
        <v>1828.98</v>
      </c>
      <c r="B12" s="27">
        <f>'Depth Requirement'!$B12</f>
        <v>32.700000000000003</v>
      </c>
      <c r="C12" s="27">
        <f>'Depth Requirement'!$C12</f>
        <v>1E-3</v>
      </c>
      <c r="D12" s="40">
        <f>'Depth Requirement'!$D12</f>
        <v>3.22</v>
      </c>
      <c r="E12" s="40"/>
      <c r="F12" s="28">
        <f>'Depth Requirement'!$E12</f>
        <v>27.65</v>
      </c>
      <c r="G12" s="34">
        <f>'Depth Requirement'!$I12</f>
        <v>2.8240999999999999E-2</v>
      </c>
      <c r="H12" s="29">
        <f>'Depth Requirement'!$J12</f>
        <v>2.84</v>
      </c>
      <c r="I12" s="29">
        <f>D12*(B12+(D12*C12))</f>
        <v>105.30436840000002</v>
      </c>
      <c r="J12" s="57">
        <f t="shared" si="0"/>
        <v>7453.7721311475416</v>
      </c>
      <c r="K12" s="60"/>
      <c r="L12" s="43"/>
      <c r="N12"/>
    </row>
    <row r="13" spans="1:14" x14ac:dyDescent="0.25">
      <c r="A13" s="118">
        <f>'Depth Requirement'!$A$13</f>
        <v>1807.37</v>
      </c>
      <c r="B13" s="72">
        <f>'Depth Requirement'!$B13</f>
        <v>27.5</v>
      </c>
      <c r="C13" s="72">
        <f>'Depth Requirement'!$C13</f>
        <v>1E-3</v>
      </c>
      <c r="D13" s="87">
        <f>'Depth Requirement'!$D13</f>
        <v>3.54</v>
      </c>
      <c r="E13" s="87"/>
      <c r="F13" s="73">
        <f>'Depth Requirement'!$E13</f>
        <v>28.29</v>
      </c>
      <c r="G13" s="75">
        <f>'Depth Requirement'!$I13</f>
        <v>2.6682000000000001E-2</v>
      </c>
      <c r="H13" s="74">
        <f>'Depth Requirement'!$J13</f>
        <v>2.81</v>
      </c>
      <c r="I13" s="74">
        <f t="shared" si="1"/>
        <v>97.362531600000011</v>
      </c>
      <c r="J13" s="88">
        <f t="shared" si="0"/>
        <v>7742.1540983606556</v>
      </c>
      <c r="K13" s="60"/>
      <c r="L13" s="43"/>
      <c r="N13"/>
    </row>
    <row r="14" spans="1:14" x14ac:dyDescent="0.25">
      <c r="A14" s="117">
        <f>'Depth Requirement'!$A$14</f>
        <v>1770.07</v>
      </c>
      <c r="B14" s="27">
        <f>'Depth Requirement'!$B14</f>
        <v>21.7</v>
      </c>
      <c r="C14" s="27">
        <f>'Depth Requirement'!$C14</f>
        <v>1E-3</v>
      </c>
      <c r="D14" s="40">
        <f>'Depth Requirement'!$D14</f>
        <v>3.25</v>
      </c>
      <c r="E14" s="40"/>
      <c r="F14" s="28">
        <f>'Depth Requirement'!$E14</f>
        <v>30.2</v>
      </c>
      <c r="G14" s="34">
        <f>'Depth Requirement'!$I14</f>
        <v>2.9264999999999999E-2</v>
      </c>
      <c r="H14" s="29">
        <f>'Depth Requirement'!$J14</f>
        <v>3.04</v>
      </c>
      <c r="I14" s="29">
        <f>D14*(B14+(D14*C14))</f>
        <v>70.535562499999997</v>
      </c>
      <c r="J14" s="57">
        <f t="shared" si="0"/>
        <v>7796.004098360655</v>
      </c>
      <c r="K14" s="60"/>
      <c r="L14" s="43"/>
      <c r="N14"/>
    </row>
    <row r="15" spans="1:14" x14ac:dyDescent="0.25">
      <c r="A15" s="118">
        <f>'Depth Requirement'!$A$15</f>
        <v>1765.9</v>
      </c>
      <c r="B15" s="72">
        <f>'Depth Requirement'!$B15</f>
        <v>21.16</v>
      </c>
      <c r="C15" s="72">
        <f>'Depth Requirement'!$C15</f>
        <v>1E-3</v>
      </c>
      <c r="D15" s="87">
        <f>'Depth Requirement'!$D15</f>
        <v>3.31</v>
      </c>
      <c r="E15" s="87"/>
      <c r="F15" s="73">
        <f>'Depth Requirement'!$E15</f>
        <v>30.28</v>
      </c>
      <c r="G15" s="75">
        <f>'Depth Requirement'!$I15</f>
        <v>3.2249E-2</v>
      </c>
      <c r="H15" s="74">
        <f>'Depth Requirement'!$J15</f>
        <v>2.97</v>
      </c>
      <c r="I15" s="74">
        <f t="shared" si="1"/>
        <v>70.050556099999994</v>
      </c>
      <c r="J15" s="88">
        <f t="shared" si="0"/>
        <v>8749.5237704918036</v>
      </c>
      <c r="K15" s="60"/>
      <c r="L15" s="43"/>
      <c r="N15"/>
    </row>
    <row r="16" spans="1:14" x14ac:dyDescent="0.25">
      <c r="A16" s="117">
        <f>'Depth Requirement'!$A$16</f>
        <v>1763.38</v>
      </c>
      <c r="B16" s="27">
        <f>'Depth Requirement'!$B16</f>
        <v>20.86</v>
      </c>
      <c r="C16" s="38">
        <f>'Depth Requirement'!$C16</f>
        <v>1E-3</v>
      </c>
      <c r="D16" s="40">
        <f>'Depth Requirement'!$D16</f>
        <v>3.41</v>
      </c>
      <c r="E16" s="40"/>
      <c r="F16" s="28">
        <f>'Depth Requirement'!$E16</f>
        <v>30.28</v>
      </c>
      <c r="G16" s="34">
        <f>'Depth Requirement'!$I16</f>
        <v>3.1342000000000002E-2</v>
      </c>
      <c r="H16" s="29">
        <f>'Depth Requirement'!$J16</f>
        <v>2.93</v>
      </c>
      <c r="I16" s="29">
        <f t="shared" si="1"/>
        <v>71.144228099999992</v>
      </c>
      <c r="J16" s="57">
        <f t="shared" si="0"/>
        <v>8760.3459016393444</v>
      </c>
      <c r="K16" s="60"/>
      <c r="L16" s="43"/>
      <c r="N16"/>
    </row>
    <row r="17" spans="1:16" ht="15.75" thickBot="1" x14ac:dyDescent="0.3">
      <c r="A17" s="118">
        <f>'Depth Requirement'!$A$17</f>
        <v>1750</v>
      </c>
      <c r="B17" s="72">
        <f>'Depth Requirement'!$B17</f>
        <v>19.7</v>
      </c>
      <c r="C17" s="72">
        <f>'Depth Requirement'!$C17</f>
        <v>1E-3</v>
      </c>
      <c r="D17" s="87">
        <f>'Depth Requirement'!$D17</f>
        <v>4.09</v>
      </c>
      <c r="E17" s="87"/>
      <c r="F17" s="73">
        <f>'Depth Requirement'!$E17</f>
        <v>30.1</v>
      </c>
      <c r="G17" s="75">
        <f>'Depth Requirement'!$I17</f>
        <v>2.8399000000000001E-2</v>
      </c>
      <c r="H17" s="74">
        <f>'Depth Requirement'!$J17</f>
        <v>2.64</v>
      </c>
      <c r="I17" s="74">
        <f t="shared" ref="I17:I23" si="2">D17*(B17+(D17*C17))</f>
        <v>80.589728100000002</v>
      </c>
      <c r="J17" s="89">
        <f t="shared" si="0"/>
        <v>9520.6483606557376</v>
      </c>
      <c r="K17" s="60"/>
      <c r="L17" s="43"/>
      <c r="M17" s="46"/>
      <c r="N17" s="47"/>
    </row>
    <row r="18" spans="1:16" hidden="1" x14ac:dyDescent="0.25">
      <c r="A18" s="117">
        <f>'Depth Requirement'!$A$18</f>
        <v>0</v>
      </c>
      <c r="B18" s="27">
        <f>'Depth Requirement'!$B18</f>
        <v>0</v>
      </c>
      <c r="C18" s="27">
        <f>'Depth Requirement'!$C18</f>
        <v>0</v>
      </c>
      <c r="D18" s="40">
        <f>'Depth Requirement'!$D18</f>
        <v>0</v>
      </c>
      <c r="E18" s="40"/>
      <c r="F18" s="28">
        <f>'Depth Requirement'!$E18</f>
        <v>0</v>
      </c>
      <c r="G18" s="34">
        <f>'Depth Requirement'!$I18</f>
        <v>0</v>
      </c>
      <c r="H18" s="29">
        <f>'Depth Requirement'!$J18</f>
        <v>0</v>
      </c>
      <c r="I18" s="29">
        <f t="shared" si="2"/>
        <v>0</v>
      </c>
      <c r="J18" s="61">
        <f t="shared" si="0"/>
        <v>0</v>
      </c>
      <c r="K18" s="60"/>
      <c r="L18" s="43"/>
      <c r="M18" s="46"/>
      <c r="N18" s="47"/>
    </row>
    <row r="19" spans="1:16" hidden="1" x14ac:dyDescent="0.25">
      <c r="A19" s="118">
        <f>'Depth Requirement'!$A$19</f>
        <v>0</v>
      </c>
      <c r="B19" s="72">
        <f>'Depth Requirement'!$B19</f>
        <v>0</v>
      </c>
      <c r="C19" s="72">
        <f>'Depth Requirement'!$C19</f>
        <v>0</v>
      </c>
      <c r="D19" s="87">
        <f>'Depth Requirement'!$D19</f>
        <v>0</v>
      </c>
      <c r="E19" s="87"/>
      <c r="F19" s="73">
        <f>'Depth Requirement'!$E19</f>
        <v>0</v>
      </c>
      <c r="G19" s="75">
        <f>'Depth Requirement'!$I19</f>
        <v>0</v>
      </c>
      <c r="H19" s="74">
        <f>'Depth Requirement'!$J19</f>
        <v>0</v>
      </c>
      <c r="I19" s="74">
        <f t="shared" si="2"/>
        <v>0</v>
      </c>
      <c r="J19" s="89">
        <f t="shared" si="0"/>
        <v>0</v>
      </c>
      <c r="K19" s="60"/>
      <c r="L19" s="43"/>
      <c r="M19" s="46"/>
      <c r="N19" s="47"/>
    </row>
    <row r="20" spans="1:16" hidden="1" x14ac:dyDescent="0.25">
      <c r="A20" s="117">
        <f>'Depth Requirement'!$A$20</f>
        <v>0</v>
      </c>
      <c r="B20" s="27">
        <f>'Depth Requirement'!$B20</f>
        <v>0</v>
      </c>
      <c r="C20" s="27">
        <f>'Depth Requirement'!$C20</f>
        <v>0</v>
      </c>
      <c r="D20" s="40">
        <f>'Depth Requirement'!$D20</f>
        <v>0</v>
      </c>
      <c r="E20" s="40"/>
      <c r="F20" s="28">
        <f>'Depth Requirement'!$E20</f>
        <v>0</v>
      </c>
      <c r="G20" s="34">
        <f>'Depth Requirement'!$I20</f>
        <v>0</v>
      </c>
      <c r="H20" s="29">
        <f>'Depth Requirement'!$J20</f>
        <v>0</v>
      </c>
      <c r="I20" s="29">
        <f t="shared" si="2"/>
        <v>0</v>
      </c>
      <c r="J20" s="61">
        <f t="shared" si="0"/>
        <v>0</v>
      </c>
      <c r="K20" s="60"/>
      <c r="L20" s="43"/>
      <c r="M20" s="46"/>
      <c r="N20" s="47"/>
    </row>
    <row r="21" spans="1:16" hidden="1" x14ac:dyDescent="0.25">
      <c r="A21" s="118">
        <f>'Depth Requirement'!$A$21</f>
        <v>0</v>
      </c>
      <c r="B21" s="72">
        <f>'Depth Requirement'!$B21</f>
        <v>0</v>
      </c>
      <c r="C21" s="72">
        <f>'Depth Requirement'!$C21</f>
        <v>0</v>
      </c>
      <c r="D21" s="87">
        <f>'Depth Requirement'!$D21</f>
        <v>0</v>
      </c>
      <c r="E21" s="87"/>
      <c r="F21" s="73">
        <f>'Depth Requirement'!$E21</f>
        <v>0</v>
      </c>
      <c r="G21" s="75">
        <f>'Depth Requirement'!$I21</f>
        <v>0</v>
      </c>
      <c r="H21" s="74">
        <f>'Depth Requirement'!$J21</f>
        <v>0</v>
      </c>
      <c r="I21" s="74">
        <f t="shared" si="2"/>
        <v>0</v>
      </c>
      <c r="J21" s="89">
        <f t="shared" si="0"/>
        <v>0</v>
      </c>
      <c r="K21" s="60"/>
      <c r="L21" s="43"/>
      <c r="M21" s="46"/>
      <c r="N21" s="47"/>
    </row>
    <row r="22" spans="1:16" hidden="1" x14ac:dyDescent="0.25">
      <c r="A22" s="117">
        <f>'Depth Requirement'!$A$22</f>
        <v>0</v>
      </c>
      <c r="B22" s="27">
        <f>'Depth Requirement'!$B22</f>
        <v>0</v>
      </c>
      <c r="C22" s="27">
        <f>'Depth Requirement'!$C22</f>
        <v>0</v>
      </c>
      <c r="D22" s="40">
        <f>'Depth Requirement'!$D22</f>
        <v>0</v>
      </c>
      <c r="E22" s="40"/>
      <c r="F22" s="28">
        <f>'Depth Requirement'!$E22</f>
        <v>0</v>
      </c>
      <c r="G22" s="34">
        <f>'Depth Requirement'!$I22</f>
        <v>0</v>
      </c>
      <c r="H22" s="29">
        <f>'Depth Requirement'!$J22</f>
        <v>0</v>
      </c>
      <c r="I22" s="29">
        <f t="shared" si="2"/>
        <v>0</v>
      </c>
      <c r="J22" s="61">
        <f t="shared" si="0"/>
        <v>0</v>
      </c>
      <c r="K22" s="60"/>
      <c r="L22" s="43"/>
      <c r="M22" s="46"/>
      <c r="N22" s="47"/>
    </row>
    <row r="23" spans="1:16" ht="15.75" hidden="1" thickBot="1" x14ac:dyDescent="0.3">
      <c r="A23" s="117">
        <f>'Depth Requirement'!$A$23</f>
        <v>0</v>
      </c>
      <c r="B23" s="27">
        <f>'Depth Requirement'!$B23</f>
        <v>0</v>
      </c>
      <c r="C23" s="27">
        <f>'Depth Requirement'!$C23</f>
        <v>0</v>
      </c>
      <c r="D23" s="40">
        <f>'Depth Requirement'!$D23</f>
        <v>0</v>
      </c>
      <c r="E23" s="40"/>
      <c r="F23" s="28">
        <f>'Depth Requirement'!$E23</f>
        <v>0</v>
      </c>
      <c r="G23" s="34">
        <f>'Depth Requirement'!$I23</f>
        <v>0</v>
      </c>
      <c r="H23" s="29">
        <f>'Depth Requirement'!$J23</f>
        <v>0</v>
      </c>
      <c r="I23" s="29">
        <f t="shared" si="2"/>
        <v>0</v>
      </c>
      <c r="J23" s="61">
        <f t="shared" si="0"/>
        <v>0</v>
      </c>
      <c r="K23" s="60"/>
      <c r="L23" s="43"/>
      <c r="M23" s="46"/>
      <c r="N23" s="47"/>
    </row>
    <row r="24" spans="1:16" ht="16.5" thickTop="1" thickBot="1" x14ac:dyDescent="0.3">
      <c r="A24" s="21"/>
      <c r="B24" s="21"/>
      <c r="C24" s="22"/>
      <c r="D24" s="22"/>
      <c r="E24" s="22"/>
      <c r="F24" s="23"/>
      <c r="G24" s="23"/>
      <c r="H24" s="23"/>
      <c r="I24" s="23"/>
      <c r="J24" s="23"/>
      <c r="K24" s="43"/>
      <c r="L24" s="43"/>
      <c r="M24" s="43"/>
      <c r="N24" s="43"/>
      <c r="O24" s="44"/>
    </row>
    <row r="25" spans="1:16" ht="81.75" thickTop="1" thickBot="1" x14ac:dyDescent="0.4">
      <c r="A25" s="4" t="s">
        <v>21</v>
      </c>
      <c r="B25" s="64" t="s">
        <v>99</v>
      </c>
      <c r="C25" s="10" t="s">
        <v>55</v>
      </c>
      <c r="D25" s="10" t="s">
        <v>56</v>
      </c>
      <c r="E25" s="48"/>
      <c r="F25" s="10" t="s">
        <v>57</v>
      </c>
      <c r="G25" s="10" t="s">
        <v>58</v>
      </c>
      <c r="H25" s="10" t="s">
        <v>59</v>
      </c>
      <c r="I25" s="10" t="s">
        <v>60</v>
      </c>
      <c r="J25" s="10" t="s">
        <v>72</v>
      </c>
      <c r="K25" s="10" t="s">
        <v>78</v>
      </c>
      <c r="L25" s="95" t="s">
        <v>73</v>
      </c>
      <c r="M25" s="43"/>
      <c r="N25" s="43"/>
      <c r="O25" s="43"/>
      <c r="P25" s="44"/>
    </row>
    <row r="26" spans="1:16" ht="15.75" thickTop="1" x14ac:dyDescent="0.25">
      <c r="A26" s="115">
        <f>'Depth Requirement'!$A$5</f>
        <v>1960.26</v>
      </c>
      <c r="B26" s="90">
        <v>1.76</v>
      </c>
      <c r="C26" s="67">
        <f t="shared" ref="C26:C37" si="3">B26+D5</f>
        <v>4.45</v>
      </c>
      <c r="D26" s="77">
        <f t="shared" ref="D26:D37" si="4">C26*(B5+(C26*C5))</f>
        <v>244.8143025</v>
      </c>
      <c r="E26" s="78"/>
      <c r="F26" s="68">
        <f t="shared" ref="F26:F37" si="5">(1+C5^2)^0.5</f>
        <v>1.0000004999998751</v>
      </c>
      <c r="G26" s="68">
        <f t="shared" ref="G26:G31" si="6">D5/B5</f>
        <v>4.8900199963642976E-2</v>
      </c>
      <c r="H26" s="68">
        <f t="shared" ref="H26:H37" si="7">(3/2)*((1+(2*F26*G26))*(1+2*C5*G26))/(1+(2*C5*G26)+(2*F26*C5*G26))</f>
        <v>1.6465396566712607</v>
      </c>
      <c r="I26" s="68">
        <f t="shared" ref="I26:I37" si="8">F5+(((D26*0.5*C26)-(I5*0.5*D5))*32.2/(I5*(1-(I5/D26))))^0.5</f>
        <v>36.470062647271867</v>
      </c>
      <c r="J26" s="68">
        <f t="shared" ref="J26:J37" si="9">(((F5-I26)*I5)+(I26*D26))/D26</f>
        <v>28.134313931686073</v>
      </c>
      <c r="K26" s="93">
        <f>I26-J26</f>
        <v>8.3357487155857939</v>
      </c>
      <c r="L26" s="96">
        <f t="shared" ref="L26:L37" si="10">(((K26^2)*2*D5*(H5-H26))/(32.2*(D5+C26)))</f>
        <v>1.7616938591904341</v>
      </c>
      <c r="M26" s="43"/>
      <c r="N26" s="43"/>
      <c r="O26" s="43"/>
      <c r="P26" s="44"/>
    </row>
    <row r="27" spans="1:16" x14ac:dyDescent="0.25">
      <c r="A27" s="117">
        <f>'Depth Requirement'!$A$6</f>
        <v>1942.35</v>
      </c>
      <c r="B27" s="91">
        <v>1.66</v>
      </c>
      <c r="C27" s="28">
        <f t="shared" si="3"/>
        <v>4.5599999999999996</v>
      </c>
      <c r="D27" s="49">
        <f t="shared" si="4"/>
        <v>237.82479359999996</v>
      </c>
      <c r="E27" s="50"/>
      <c r="F27" s="29">
        <f t="shared" si="5"/>
        <v>1.0000004999998751</v>
      </c>
      <c r="G27" s="29">
        <f t="shared" si="6"/>
        <v>5.560882070949185E-2</v>
      </c>
      <c r="H27" s="29">
        <f t="shared" si="7"/>
        <v>1.6666412061579743</v>
      </c>
      <c r="I27" s="29">
        <f t="shared" si="8"/>
        <v>36.722486072309685</v>
      </c>
      <c r="J27" s="29">
        <f t="shared" si="9"/>
        <v>27.983025295358868</v>
      </c>
      <c r="K27" s="57">
        <f>I27-J27</f>
        <v>8.7394607769508177</v>
      </c>
      <c r="L27" s="97">
        <f t="shared" si="10"/>
        <v>1.6659533884031019</v>
      </c>
      <c r="M27" s="43"/>
      <c r="N27" s="43"/>
      <c r="O27" s="43"/>
      <c r="P27" s="44"/>
    </row>
    <row r="28" spans="1:16" x14ac:dyDescent="0.25">
      <c r="A28" s="118">
        <f>'Depth Requirement'!$A$7</f>
        <v>1899.08</v>
      </c>
      <c r="B28" s="91">
        <v>1.91</v>
      </c>
      <c r="C28" s="73">
        <f t="shared" si="3"/>
        <v>4.54</v>
      </c>
      <c r="D28" s="79">
        <f t="shared" si="4"/>
        <v>214.89881159999999</v>
      </c>
      <c r="E28" s="80"/>
      <c r="F28" s="74">
        <f t="shared" si="5"/>
        <v>1.0000004999998751</v>
      </c>
      <c r="G28" s="74">
        <f t="shared" si="6"/>
        <v>5.5567293471371224E-2</v>
      </c>
      <c r="H28" s="74">
        <f t="shared" si="7"/>
        <v>1.6665167765995277</v>
      </c>
      <c r="I28" s="74">
        <f t="shared" si="8"/>
        <v>39.536391389727797</v>
      </c>
      <c r="J28" s="74">
        <f t="shared" si="9"/>
        <v>31.35916423637391</v>
      </c>
      <c r="K28" s="88">
        <f>I28-J28</f>
        <v>8.1772271533538863</v>
      </c>
      <c r="L28" s="98">
        <f t="shared" si="10"/>
        <v>1.9095954302342109</v>
      </c>
      <c r="M28" s="43"/>
      <c r="N28" s="43"/>
      <c r="O28" s="43"/>
      <c r="P28" s="44"/>
    </row>
    <row r="29" spans="1:16" x14ac:dyDescent="0.25">
      <c r="A29" s="117">
        <f>'Depth Requirement'!$A$8</f>
        <v>1887.96</v>
      </c>
      <c r="B29" s="91">
        <v>1.94</v>
      </c>
      <c r="C29" s="28">
        <f t="shared" si="3"/>
        <v>4.58</v>
      </c>
      <c r="D29" s="49">
        <f t="shared" si="4"/>
        <v>208.2735764</v>
      </c>
      <c r="E29" s="50"/>
      <c r="F29" s="29">
        <f t="shared" si="5"/>
        <v>1.0000004999998751</v>
      </c>
      <c r="G29" s="29">
        <f t="shared" si="6"/>
        <v>5.8060259511766001E-2</v>
      </c>
      <c r="H29" s="29">
        <f t="shared" si="7"/>
        <v>1.6739865039161828</v>
      </c>
      <c r="I29" s="29">
        <f t="shared" si="8"/>
        <v>40.080825139504185</v>
      </c>
      <c r="J29" s="29">
        <f t="shared" si="9"/>
        <v>31.89554588351746</v>
      </c>
      <c r="K29" s="57">
        <f t="shared" ref="K29:K43" si="11">I29-J29</f>
        <v>8.1852792559867247</v>
      </c>
      <c r="L29" s="97">
        <f>(((K29^2)*2*D8*(H8-H29))/(32.2*(D8+C29)))</f>
        <v>1.9416150185052485</v>
      </c>
      <c r="M29" s="43"/>
      <c r="N29" s="43"/>
      <c r="O29" s="43"/>
      <c r="P29" s="44"/>
    </row>
    <row r="30" spans="1:16" x14ac:dyDescent="0.25">
      <c r="A30" s="118">
        <f>'Depth Requirement'!$A$9</f>
        <v>1858.11</v>
      </c>
      <c r="B30" s="91">
        <v>2.02</v>
      </c>
      <c r="C30" s="73">
        <f t="shared" si="3"/>
        <v>4.79</v>
      </c>
      <c r="D30" s="79">
        <f t="shared" si="4"/>
        <v>188.07834409999998</v>
      </c>
      <c r="E30" s="80"/>
      <c r="F30" s="74">
        <f t="shared" si="5"/>
        <v>1.0000004999998751</v>
      </c>
      <c r="G30" s="74">
        <f t="shared" si="6"/>
        <v>7.0555272542027508E-2</v>
      </c>
      <c r="H30" s="74">
        <f t="shared" si="7"/>
        <v>1.7114244573735757</v>
      </c>
      <c r="I30" s="74">
        <f t="shared" si="8"/>
        <v>41.397853915378526</v>
      </c>
      <c r="J30" s="74">
        <f t="shared" si="9"/>
        <v>33.008566250544682</v>
      </c>
      <c r="K30" s="88">
        <f>I30-J30</f>
        <v>8.3892876648338444</v>
      </c>
      <c r="L30" s="98">
        <f t="shared" si="10"/>
        <v>2.0158655282401687</v>
      </c>
      <c r="M30" s="43"/>
      <c r="N30" s="43"/>
      <c r="O30" s="43"/>
      <c r="P30" s="44"/>
    </row>
    <row r="31" spans="1:16" x14ac:dyDescent="0.25">
      <c r="A31" s="117">
        <f>'Depth Requirement'!$A$10</f>
        <v>1854.79</v>
      </c>
      <c r="B31" s="91">
        <v>2.0099999999999998</v>
      </c>
      <c r="C31" s="28">
        <f t="shared" si="3"/>
        <v>4.8</v>
      </c>
      <c r="D31" s="49">
        <f t="shared" si="4"/>
        <v>184.87103999999999</v>
      </c>
      <c r="E31" s="50"/>
      <c r="F31" s="29">
        <f t="shared" si="5"/>
        <v>1.0000004999998751</v>
      </c>
      <c r="G31" s="29">
        <f t="shared" si="6"/>
        <v>7.244871461957933E-2</v>
      </c>
      <c r="H31" s="29">
        <f t="shared" si="7"/>
        <v>1.7170974854416996</v>
      </c>
      <c r="I31" s="29">
        <f t="shared" si="8"/>
        <v>41.489523438709618</v>
      </c>
      <c r="J31" s="29">
        <f t="shared" si="9"/>
        <v>33.062115270219117</v>
      </c>
      <c r="K31" s="57">
        <f t="shared" si="11"/>
        <v>8.4274081684905013</v>
      </c>
      <c r="L31" s="97">
        <f t="shared" si="10"/>
        <v>2.0154019555675671</v>
      </c>
      <c r="M31" s="43"/>
      <c r="N31" s="43"/>
      <c r="O31" s="43"/>
      <c r="P31" s="44"/>
    </row>
    <row r="32" spans="1:16" x14ac:dyDescent="0.25">
      <c r="A32" s="118">
        <f>'Depth Requirement'!$A$11</f>
        <v>1850</v>
      </c>
      <c r="B32" s="91">
        <v>2</v>
      </c>
      <c r="C32" s="73">
        <f t="shared" si="3"/>
        <v>4.8</v>
      </c>
      <c r="D32" s="79">
        <f t="shared" si="4"/>
        <v>179.68704</v>
      </c>
      <c r="E32" s="80"/>
      <c r="F32" s="74">
        <f t="shared" si="5"/>
        <v>1.0000004999998751</v>
      </c>
      <c r="G32" s="74">
        <f t="shared" ref="G32:G44" si="12">D11/B11</f>
        <v>7.480630510285867E-2</v>
      </c>
      <c r="H32" s="74">
        <f t="shared" si="7"/>
        <v>1.7241611097327383</v>
      </c>
      <c r="I32" s="74">
        <f t="shared" si="8"/>
        <v>41.613138417711895</v>
      </c>
      <c r="J32" s="74">
        <f t="shared" si="9"/>
        <v>33.165092378692769</v>
      </c>
      <c r="K32" s="88">
        <f t="shared" si="11"/>
        <v>8.4480460390191254</v>
      </c>
      <c r="L32" s="98">
        <f t="shared" si="10"/>
        <v>2.0020019785703709</v>
      </c>
      <c r="M32" s="43"/>
      <c r="N32" s="43"/>
      <c r="O32" s="43"/>
      <c r="P32" s="44"/>
    </row>
    <row r="33" spans="1:18" x14ac:dyDescent="0.25">
      <c r="A33" s="117">
        <f>'Depth Requirement'!$A$12</f>
        <v>1828.98</v>
      </c>
      <c r="B33" s="91">
        <v>2.0499999999999998</v>
      </c>
      <c r="C33" s="28">
        <f t="shared" si="3"/>
        <v>5.27</v>
      </c>
      <c r="D33" s="49">
        <f t="shared" si="4"/>
        <v>172.35677290000001</v>
      </c>
      <c r="E33" s="50"/>
      <c r="F33" s="29">
        <f t="shared" si="5"/>
        <v>1.0000004999998751</v>
      </c>
      <c r="G33" s="29">
        <f t="shared" si="12"/>
        <v>9.8470948012232412E-2</v>
      </c>
      <c r="H33" s="29">
        <f t="shared" si="7"/>
        <v>1.795059538746987</v>
      </c>
      <c r="I33" s="29">
        <f t="shared" si="8"/>
        <v>42.607000097599922</v>
      </c>
      <c r="J33" s="29">
        <f t="shared" si="9"/>
        <v>33.468760723912403</v>
      </c>
      <c r="K33" s="57">
        <f>I33-J33</f>
        <v>9.1382393736875187</v>
      </c>
      <c r="L33" s="97">
        <f t="shared" si="10"/>
        <v>2.0556014316140616</v>
      </c>
      <c r="M33" s="43"/>
      <c r="N33" s="43"/>
      <c r="O33" s="43"/>
      <c r="P33" s="44"/>
    </row>
    <row r="34" spans="1:18" x14ac:dyDescent="0.25">
      <c r="A34" s="118">
        <f>'Depth Requirement'!$A$13</f>
        <v>1807.37</v>
      </c>
      <c r="B34" s="91">
        <v>2.06</v>
      </c>
      <c r="C34" s="73">
        <f t="shared" si="3"/>
        <v>5.6</v>
      </c>
      <c r="D34" s="79">
        <f t="shared" si="4"/>
        <v>154.03136000000001</v>
      </c>
      <c r="E34" s="80"/>
      <c r="F34" s="74">
        <f t="shared" si="5"/>
        <v>1.0000004999998751</v>
      </c>
      <c r="G34" s="74">
        <f t="shared" si="12"/>
        <v>0.12872727272727272</v>
      </c>
      <c r="H34" s="74">
        <f t="shared" si="7"/>
        <v>1.8856966548120357</v>
      </c>
      <c r="I34" s="74">
        <f t="shared" si="8"/>
        <v>43.547295602885001</v>
      </c>
      <c r="J34" s="74">
        <f t="shared" si="9"/>
        <v>33.90322750359384</v>
      </c>
      <c r="K34" s="88">
        <f t="shared" si="11"/>
        <v>9.6440680992911609</v>
      </c>
      <c r="L34" s="98">
        <f t="shared" si="10"/>
        <v>2.0680748437114387</v>
      </c>
      <c r="M34" s="43"/>
      <c r="N34" s="43"/>
      <c r="O34" s="43"/>
      <c r="P34" s="44"/>
    </row>
    <row r="35" spans="1:18" x14ac:dyDescent="0.25">
      <c r="A35" s="117">
        <f>'Depth Requirement'!$A$14</f>
        <v>1770.07</v>
      </c>
      <c r="B35" s="91">
        <v>2.14</v>
      </c>
      <c r="C35" s="28">
        <f t="shared" si="3"/>
        <v>5.3900000000000006</v>
      </c>
      <c r="D35" s="49">
        <f t="shared" si="4"/>
        <v>116.9920521</v>
      </c>
      <c r="E35" s="50"/>
      <c r="F35" s="29">
        <f t="shared" si="5"/>
        <v>1.0000004999998751</v>
      </c>
      <c r="G35" s="29">
        <f t="shared" si="12"/>
        <v>0.14976958525345624</v>
      </c>
      <c r="H35" s="29">
        <f t="shared" si="7"/>
        <v>1.9487254353170047</v>
      </c>
      <c r="I35" s="29">
        <f t="shared" si="8"/>
        <v>45.388806175431576</v>
      </c>
      <c r="J35" s="29">
        <f t="shared" si="9"/>
        <v>36.231338056385397</v>
      </c>
      <c r="K35" s="57">
        <f>I35-J35</f>
        <v>9.1574681190461789</v>
      </c>
      <c r="L35" s="97">
        <f t="shared" si="10"/>
        <v>2.138102917169117</v>
      </c>
      <c r="M35" s="43"/>
      <c r="N35" s="43"/>
      <c r="O35" s="43"/>
      <c r="P35" s="44"/>
    </row>
    <row r="36" spans="1:18" x14ac:dyDescent="0.25">
      <c r="A36" s="118">
        <f>'Depth Requirement'!$A$15</f>
        <v>1765.9</v>
      </c>
      <c r="B36" s="91">
        <v>2.0499999999999998</v>
      </c>
      <c r="C36" s="73">
        <f t="shared" si="3"/>
        <v>5.3599999999999994</v>
      </c>
      <c r="D36" s="79">
        <f t="shared" si="4"/>
        <v>113.44632959999998</v>
      </c>
      <c r="E36" s="80"/>
      <c r="F36" s="74">
        <f t="shared" si="5"/>
        <v>1.0000004999998751</v>
      </c>
      <c r="G36" s="74">
        <f t="shared" si="12"/>
        <v>0.15642722117202268</v>
      </c>
      <c r="H36" s="74">
        <f t="shared" si="7"/>
        <v>1.9686661845163178</v>
      </c>
      <c r="I36" s="74">
        <f t="shared" si="8"/>
        <v>45.314567032589075</v>
      </c>
      <c r="J36" s="74">
        <f t="shared" si="9"/>
        <v>36.031060152560485</v>
      </c>
      <c r="K36" s="88">
        <f t="shared" si="11"/>
        <v>9.2835068800285896</v>
      </c>
      <c r="L36" s="98">
        <f t="shared" si="10"/>
        <v>2.0463788105415013</v>
      </c>
      <c r="M36" s="43"/>
      <c r="N36" s="43"/>
      <c r="O36" s="43"/>
      <c r="P36" s="44"/>
    </row>
    <row r="37" spans="1:18" x14ac:dyDescent="0.25">
      <c r="A37" s="117">
        <f>'Depth Requirement'!$A$16</f>
        <v>1763.38</v>
      </c>
      <c r="B37" s="91">
        <v>2.0099999999999998</v>
      </c>
      <c r="C37" s="28">
        <f t="shared" si="3"/>
        <v>5.42</v>
      </c>
      <c r="D37" s="49">
        <f t="shared" si="4"/>
        <v>113.0905764</v>
      </c>
      <c r="E37" s="50"/>
      <c r="F37" s="29">
        <f t="shared" si="5"/>
        <v>1.0000004999998751</v>
      </c>
      <c r="G37" s="29">
        <f t="shared" si="12"/>
        <v>0.16347075743048897</v>
      </c>
      <c r="H37" s="29">
        <f t="shared" si="7"/>
        <v>1.9897621939241534</v>
      </c>
      <c r="I37" s="29">
        <f t="shared" si="8"/>
        <v>45.311934755145792</v>
      </c>
      <c r="J37" s="29">
        <f t="shared" si="9"/>
        <v>35.855484633061089</v>
      </c>
      <c r="K37" s="57">
        <f t="shared" si="11"/>
        <v>9.4564501220847035</v>
      </c>
      <c r="L37" s="97">
        <f t="shared" si="10"/>
        <v>2.0167951189857467</v>
      </c>
      <c r="M37" s="43"/>
      <c r="N37" s="43"/>
      <c r="O37" s="43"/>
      <c r="P37" s="44"/>
    </row>
    <row r="38" spans="1:18" x14ac:dyDescent="0.25">
      <c r="A38" s="118">
        <f>'Depth Requirement'!$A$17</f>
        <v>1750</v>
      </c>
      <c r="B38" s="91">
        <v>1.54</v>
      </c>
      <c r="C38" s="73">
        <f t="shared" ref="C38:C44" si="13">B38+D17</f>
        <v>5.63</v>
      </c>
      <c r="D38" s="79">
        <f t="shared" ref="D38:D44" si="14">C38*(B17+(C38*C17))</f>
        <v>110.94269689999999</v>
      </c>
      <c r="E38" s="80"/>
      <c r="F38" s="74">
        <f t="shared" ref="F38:F44" si="15">(1+C17^2)^0.5</f>
        <v>1.0000004999998751</v>
      </c>
      <c r="G38" s="74">
        <f t="shared" si="12"/>
        <v>0.20761421319796955</v>
      </c>
      <c r="H38" s="74">
        <f t="shared" ref="H38:H44" si="16">(3/2)*((1+(2*F38*G38))*(1+2*C17*G38))/(1+(2*C17*G38)+(2*F38*C17*G38))</f>
        <v>2.1219622172479582</v>
      </c>
      <c r="I38" s="74">
        <f t="shared" ref="I38:I44" si="17">F17+(((D38*0.5*C38)-(I17*0.5*D17))*32.2/(I17*(1-(I17/D38))))^0.5</f>
        <v>44.776736027565462</v>
      </c>
      <c r="J38" s="74">
        <f t="shared" ref="J38:J44" si="18">(((F17-I38)*I17)+(I38*D38))/D38</f>
        <v>34.115428894180148</v>
      </c>
      <c r="K38" s="88">
        <f>I38-J38</f>
        <v>10.661307133385314</v>
      </c>
      <c r="L38" s="98">
        <f t="shared" ref="L38:L44" si="19">(((K38^2)*2*D17*(H17-H38))/(32.2*(D17+C38)))</f>
        <v>1.5389110302953541</v>
      </c>
      <c r="M38" s="43"/>
      <c r="N38" s="43"/>
      <c r="O38" s="43"/>
      <c r="P38" s="44"/>
    </row>
    <row r="39" spans="1:18" hidden="1" x14ac:dyDescent="0.25">
      <c r="A39" s="117">
        <f>'Depth Requirement'!$A$18</f>
        <v>0</v>
      </c>
      <c r="B39" s="91">
        <v>1.1000000000000001</v>
      </c>
      <c r="C39" s="28">
        <f t="shared" ref="C39" si="20">B39+D18</f>
        <v>1.1000000000000001</v>
      </c>
      <c r="D39" s="49">
        <f t="shared" ref="D39" si="21">C39*(B18+(C39*C18))</f>
        <v>0</v>
      </c>
      <c r="E39" s="50"/>
      <c r="F39" s="29">
        <f t="shared" ref="F39" si="22">(1+C18^2)^0.5</f>
        <v>1</v>
      </c>
      <c r="G39" s="29" t="e">
        <f t="shared" ref="G39" si="23">D18/B18</f>
        <v>#DIV/0!</v>
      </c>
      <c r="H39" s="29" t="e">
        <f t="shared" ref="H39" si="24">(3/2)*((1+(2*F39*G39))*(1+2*C18*G39))/(1+(2*C18*G39)+(2*F39*C18*G39))</f>
        <v>#DIV/0!</v>
      </c>
      <c r="I39" s="29" t="e">
        <f t="shared" ref="I39" si="25">F18+(((D39*0.5*C39)-(I18*0.5*D18))*32.2/(I18*(1-(I18/D39))))^0.5</f>
        <v>#DIV/0!</v>
      </c>
      <c r="J39" s="29" t="e">
        <f t="shared" ref="J39" si="26">(((F18-I39)*I18)+(I39*D39))/D39</f>
        <v>#DIV/0!</v>
      </c>
      <c r="K39" s="57" t="e">
        <f>I39-J39</f>
        <v>#DIV/0!</v>
      </c>
      <c r="L39" s="97" t="e">
        <f t="shared" ref="L39" si="27">(((K39^2)*2*D18*(H18-H39))/(32.2*(D18+C39)))</f>
        <v>#DIV/0!</v>
      </c>
      <c r="M39" s="43"/>
      <c r="N39" s="43"/>
      <c r="O39" s="43"/>
      <c r="P39" s="44"/>
    </row>
    <row r="40" spans="1:18" hidden="1" x14ac:dyDescent="0.25">
      <c r="A40" s="118">
        <f>'Depth Requirement'!$A$19</f>
        <v>0</v>
      </c>
      <c r="B40" s="91"/>
      <c r="C40" s="73">
        <f t="shared" si="13"/>
        <v>0</v>
      </c>
      <c r="D40" s="79">
        <f t="shared" si="14"/>
        <v>0</v>
      </c>
      <c r="E40" s="80"/>
      <c r="F40" s="74">
        <f t="shared" si="15"/>
        <v>1</v>
      </c>
      <c r="G40" s="74" t="e">
        <f t="shared" si="12"/>
        <v>#DIV/0!</v>
      </c>
      <c r="H40" s="74" t="e">
        <f t="shared" si="16"/>
        <v>#DIV/0!</v>
      </c>
      <c r="I40" s="74" t="e">
        <f t="shared" si="17"/>
        <v>#DIV/0!</v>
      </c>
      <c r="J40" s="74" t="e">
        <f t="shared" si="18"/>
        <v>#DIV/0!</v>
      </c>
      <c r="K40" s="88" t="e">
        <f>I40-J40</f>
        <v>#DIV/0!</v>
      </c>
      <c r="L40" s="98" t="e">
        <f t="shared" si="19"/>
        <v>#DIV/0!</v>
      </c>
      <c r="M40" s="43"/>
      <c r="N40" s="43"/>
      <c r="O40" s="43"/>
      <c r="P40" s="44"/>
    </row>
    <row r="41" spans="1:18" hidden="1" x14ac:dyDescent="0.25">
      <c r="A41" s="117">
        <f>'Depth Requirement'!$A$20</f>
        <v>0</v>
      </c>
      <c r="B41" s="91"/>
      <c r="C41" s="28">
        <f t="shared" si="13"/>
        <v>0</v>
      </c>
      <c r="D41" s="49">
        <f t="shared" si="14"/>
        <v>0</v>
      </c>
      <c r="E41" s="50"/>
      <c r="F41" s="29">
        <f t="shared" si="15"/>
        <v>1</v>
      </c>
      <c r="G41" s="29" t="e">
        <f t="shared" si="12"/>
        <v>#DIV/0!</v>
      </c>
      <c r="H41" s="29" t="e">
        <f t="shared" si="16"/>
        <v>#DIV/0!</v>
      </c>
      <c r="I41" s="29" t="e">
        <f t="shared" si="17"/>
        <v>#DIV/0!</v>
      </c>
      <c r="J41" s="29" t="e">
        <f t="shared" si="18"/>
        <v>#DIV/0!</v>
      </c>
      <c r="K41" s="57" t="e">
        <f>I41-J41</f>
        <v>#DIV/0!</v>
      </c>
      <c r="L41" s="97" t="e">
        <f t="shared" si="19"/>
        <v>#DIV/0!</v>
      </c>
      <c r="M41" s="43"/>
      <c r="N41" s="43"/>
      <c r="O41" s="43"/>
      <c r="P41" s="44"/>
    </row>
    <row r="42" spans="1:18" ht="15.75" hidden="1" thickBot="1" x14ac:dyDescent="0.3">
      <c r="A42" s="119">
        <f>'Depth Requirement'!$A$21</f>
        <v>0</v>
      </c>
      <c r="B42" s="92"/>
      <c r="C42" s="81">
        <f t="shared" si="13"/>
        <v>0</v>
      </c>
      <c r="D42" s="82">
        <f t="shared" si="14"/>
        <v>0</v>
      </c>
      <c r="E42" s="83"/>
      <c r="F42" s="84">
        <f t="shared" si="15"/>
        <v>1</v>
      </c>
      <c r="G42" s="84" t="e">
        <f t="shared" si="12"/>
        <v>#DIV/0!</v>
      </c>
      <c r="H42" s="84" t="e">
        <f t="shared" si="16"/>
        <v>#DIV/0!</v>
      </c>
      <c r="I42" s="84" t="e">
        <f t="shared" si="17"/>
        <v>#DIV/0!</v>
      </c>
      <c r="J42" s="84" t="e">
        <f t="shared" si="18"/>
        <v>#DIV/0!</v>
      </c>
      <c r="K42" s="94" t="e">
        <f t="shared" si="11"/>
        <v>#DIV/0!</v>
      </c>
      <c r="L42" s="99" t="e">
        <f t="shared" si="19"/>
        <v>#DIV/0!</v>
      </c>
      <c r="M42" s="43"/>
      <c r="N42" s="43"/>
      <c r="O42" s="43"/>
      <c r="P42" s="44"/>
    </row>
    <row r="43" spans="1:18" ht="15.75" hidden="1" thickTop="1" x14ac:dyDescent="0.25">
      <c r="A43" s="117">
        <f>'Depth Requirement'!$A$22</f>
        <v>0</v>
      </c>
      <c r="B43" s="53"/>
      <c r="C43" s="28">
        <f t="shared" si="13"/>
        <v>0</v>
      </c>
      <c r="D43" s="49">
        <f t="shared" si="14"/>
        <v>0</v>
      </c>
      <c r="E43" s="50"/>
      <c r="F43" s="29">
        <f t="shared" si="15"/>
        <v>1</v>
      </c>
      <c r="G43" s="29" t="e">
        <f t="shared" si="12"/>
        <v>#DIV/0!</v>
      </c>
      <c r="H43" s="29" t="e">
        <f t="shared" si="16"/>
        <v>#DIV/0!</v>
      </c>
      <c r="I43" s="29" t="e">
        <f t="shared" si="17"/>
        <v>#DIV/0!</v>
      </c>
      <c r="J43" s="29" t="e">
        <f t="shared" si="18"/>
        <v>#DIV/0!</v>
      </c>
      <c r="K43" s="29" t="e">
        <f t="shared" si="11"/>
        <v>#DIV/0!</v>
      </c>
      <c r="L43" s="55" t="e">
        <f t="shared" si="19"/>
        <v>#DIV/0!</v>
      </c>
      <c r="M43" s="43"/>
      <c r="N43" s="43"/>
      <c r="O43" s="43"/>
      <c r="P43" s="44"/>
    </row>
    <row r="44" spans="1:18" ht="15.75" hidden="1" thickBot="1" x14ac:dyDescent="0.3">
      <c r="A44" s="120">
        <f>'Depth Requirement'!$A$23</f>
        <v>0</v>
      </c>
      <c r="B44" s="54"/>
      <c r="C44" s="30">
        <f t="shared" si="13"/>
        <v>0</v>
      </c>
      <c r="D44" s="51">
        <f t="shared" si="14"/>
        <v>0</v>
      </c>
      <c r="E44" s="52"/>
      <c r="F44" s="31">
        <f t="shared" si="15"/>
        <v>1</v>
      </c>
      <c r="G44" s="31" t="e">
        <f t="shared" si="12"/>
        <v>#DIV/0!</v>
      </c>
      <c r="H44" s="31" t="e">
        <f t="shared" si="16"/>
        <v>#DIV/0!</v>
      </c>
      <c r="I44" s="31" t="e">
        <f t="shared" si="17"/>
        <v>#DIV/0!</v>
      </c>
      <c r="J44" s="31" t="e">
        <f t="shared" si="18"/>
        <v>#DIV/0!</v>
      </c>
      <c r="K44" s="31" t="e">
        <f>I44-J44</f>
        <v>#DIV/0!</v>
      </c>
      <c r="L44" s="56" t="e">
        <f t="shared" si="19"/>
        <v>#DIV/0!</v>
      </c>
      <c r="M44" s="43"/>
      <c r="N44" s="43"/>
      <c r="O44" s="43"/>
      <c r="P44" s="44"/>
    </row>
    <row r="45" spans="1:18" x14ac:dyDescent="0.25">
      <c r="A45" s="41"/>
      <c r="B45" s="41"/>
      <c r="C45" s="42"/>
      <c r="D45" s="42"/>
      <c r="E45" s="42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8" x14ac:dyDescent="0.25">
      <c r="A46" s="1" t="s">
        <v>11</v>
      </c>
    </row>
    <row r="47" spans="1:18" s="9" customFormat="1" x14ac:dyDescent="0.25">
      <c r="A47" t="s">
        <v>29</v>
      </c>
      <c r="B47"/>
      <c r="C47"/>
      <c r="D47"/>
      <c r="E47"/>
      <c r="O47"/>
      <c r="P47"/>
      <c r="Q47"/>
      <c r="R47"/>
    </row>
    <row r="48" spans="1:18" s="9" customFormat="1" ht="18" x14ac:dyDescent="0.4">
      <c r="A48"/>
      <c r="B48" t="s">
        <v>25</v>
      </c>
      <c r="C48"/>
      <c r="D48"/>
      <c r="E48"/>
      <c r="O48"/>
      <c r="P48"/>
      <c r="Q48"/>
      <c r="R48"/>
    </row>
    <row r="49" spans="1:18" s="9" customFormat="1" ht="19.5" x14ac:dyDescent="0.4">
      <c r="A49"/>
      <c r="B49" t="s">
        <v>7</v>
      </c>
      <c r="C49" t="s">
        <v>27</v>
      </c>
      <c r="D49"/>
      <c r="E49"/>
      <c r="G49" s="33">
        <v>1.22E-5</v>
      </c>
      <c r="O49"/>
      <c r="P49"/>
      <c r="Q49"/>
      <c r="R49"/>
    </row>
    <row r="50" spans="1:18" s="9" customFormat="1" x14ac:dyDescent="0.25">
      <c r="A50" t="s">
        <v>70</v>
      </c>
      <c r="B50"/>
      <c r="C50"/>
      <c r="D50"/>
      <c r="E50"/>
      <c r="O50"/>
      <c r="P50"/>
      <c r="Q50"/>
      <c r="R50"/>
    </row>
    <row r="51" spans="1:18" s="9" customFormat="1" x14ac:dyDescent="0.25">
      <c r="A51"/>
      <c r="B51" t="s">
        <v>71</v>
      </c>
      <c r="C51"/>
      <c r="D51"/>
      <c r="E51"/>
      <c r="O51"/>
      <c r="P51"/>
      <c r="Q51"/>
      <c r="R51"/>
    </row>
    <row r="52" spans="1:18" s="9" customFormat="1" ht="18" x14ac:dyDescent="0.35">
      <c r="A52" s="36" t="s">
        <v>30</v>
      </c>
      <c r="B52" t="s">
        <v>84</v>
      </c>
      <c r="C52"/>
      <c r="D52"/>
      <c r="E52"/>
      <c r="F52" t="s">
        <v>7</v>
      </c>
      <c r="G52" t="s">
        <v>53</v>
      </c>
      <c r="O52"/>
      <c r="P52"/>
      <c r="Q52"/>
      <c r="R52"/>
    </row>
    <row r="53" spans="1:18" s="9" customFormat="1" ht="18" x14ac:dyDescent="0.35">
      <c r="A53"/>
      <c r="D53"/>
      <c r="E53"/>
      <c r="F53"/>
      <c r="G53" t="s">
        <v>85</v>
      </c>
      <c r="O53"/>
      <c r="P53"/>
      <c r="Q53"/>
      <c r="R53"/>
    </row>
    <row r="54" spans="1:18" s="9" customFormat="1" ht="18" x14ac:dyDescent="0.35">
      <c r="A54" s="36" t="s">
        <v>33</v>
      </c>
      <c r="B54" t="s">
        <v>76</v>
      </c>
      <c r="C54"/>
      <c r="D54"/>
      <c r="E54"/>
      <c r="O54"/>
      <c r="P54"/>
      <c r="Q54"/>
      <c r="R54"/>
    </row>
    <row r="55" spans="1:18" s="9" customFormat="1" x14ac:dyDescent="0.25">
      <c r="A55"/>
      <c r="B55" t="s">
        <v>7</v>
      </c>
      <c r="C55" t="s">
        <v>8</v>
      </c>
      <c r="D55"/>
      <c r="E55"/>
      <c r="O55"/>
      <c r="P55"/>
      <c r="Q55"/>
      <c r="R55"/>
    </row>
    <row r="56" spans="1:18" s="9" customFormat="1" x14ac:dyDescent="0.25">
      <c r="A56"/>
      <c r="B56"/>
      <c r="C56" t="s">
        <v>31</v>
      </c>
      <c r="D56"/>
      <c r="E56"/>
      <c r="O56"/>
      <c r="P56"/>
      <c r="Q56"/>
      <c r="R56"/>
    </row>
    <row r="57" spans="1:18" s="9" customFormat="1" ht="17.25" x14ac:dyDescent="0.25">
      <c r="A57" s="36" t="s">
        <v>35</v>
      </c>
      <c r="B57" t="s">
        <v>32</v>
      </c>
      <c r="C57"/>
      <c r="D57"/>
      <c r="E57"/>
      <c r="O57"/>
      <c r="P57"/>
      <c r="Q57"/>
      <c r="R57"/>
    </row>
    <row r="58" spans="1:18" s="9" customFormat="1" x14ac:dyDescent="0.25">
      <c r="A58" s="36" t="s">
        <v>38</v>
      </c>
      <c r="B58" t="s">
        <v>34</v>
      </c>
      <c r="C58"/>
      <c r="D58"/>
      <c r="E58"/>
      <c r="F58" t="s">
        <v>7</v>
      </c>
      <c r="G58" t="s">
        <v>51</v>
      </c>
      <c r="O58"/>
      <c r="P58"/>
      <c r="Q58"/>
      <c r="R58"/>
    </row>
    <row r="59" spans="1:18" s="9" customFormat="1" x14ac:dyDescent="0.25">
      <c r="A59" s="36" t="s">
        <v>39</v>
      </c>
      <c r="B59" s="147" t="s">
        <v>36</v>
      </c>
      <c r="C59" s="37" t="s">
        <v>61</v>
      </c>
      <c r="D59"/>
      <c r="E59"/>
      <c r="F59" s="148" t="s">
        <v>37</v>
      </c>
      <c r="O59"/>
      <c r="P59"/>
      <c r="Q59"/>
      <c r="R59"/>
    </row>
    <row r="60" spans="1:18" s="9" customFormat="1" ht="17.25" x14ac:dyDescent="0.25">
      <c r="A60" s="36"/>
      <c r="B60" s="147"/>
      <c r="C60" t="s">
        <v>62</v>
      </c>
      <c r="D60"/>
      <c r="E60"/>
      <c r="F60" s="149"/>
      <c r="O60"/>
      <c r="P60"/>
      <c r="Q60"/>
      <c r="R60"/>
    </row>
    <row r="61" spans="1:18" s="9" customFormat="1" ht="18" x14ac:dyDescent="0.35">
      <c r="A61" s="36" t="s">
        <v>41</v>
      </c>
      <c r="B61" s="150" t="s">
        <v>50</v>
      </c>
      <c r="C61" s="37" t="s">
        <v>42</v>
      </c>
      <c r="D61"/>
      <c r="E61" s="151" t="s">
        <v>44</v>
      </c>
      <c r="F61" s="148" t="s">
        <v>52</v>
      </c>
      <c r="G61" t="s">
        <v>7</v>
      </c>
      <c r="H61" t="s">
        <v>75</v>
      </c>
      <c r="O61"/>
      <c r="P61"/>
      <c r="Q61"/>
      <c r="R61"/>
    </row>
    <row r="62" spans="1:18" s="9" customFormat="1" ht="18" x14ac:dyDescent="0.35">
      <c r="B62" s="150"/>
      <c r="C62" t="s">
        <v>43</v>
      </c>
      <c r="D62"/>
      <c r="E62" s="151"/>
      <c r="F62" s="149"/>
      <c r="G62"/>
      <c r="H62" t="s">
        <v>45</v>
      </c>
      <c r="O62"/>
      <c r="P62"/>
      <c r="Q62"/>
      <c r="R62"/>
    </row>
    <row r="63" spans="1:18" s="9" customFormat="1" x14ac:dyDescent="0.25">
      <c r="A63" s="36"/>
      <c r="D63"/>
      <c r="E63"/>
      <c r="G63"/>
      <c r="H63" t="s">
        <v>46</v>
      </c>
      <c r="O63"/>
      <c r="P63"/>
      <c r="Q63"/>
      <c r="R63"/>
    </row>
    <row r="64" spans="1:18" s="9" customFormat="1" x14ac:dyDescent="0.25">
      <c r="A64" s="36"/>
      <c r="D64"/>
      <c r="E64"/>
      <c r="G64"/>
      <c r="H64" t="s">
        <v>40</v>
      </c>
      <c r="O64"/>
      <c r="P64"/>
      <c r="Q64"/>
      <c r="R64"/>
    </row>
    <row r="65" spans="1:18" s="9" customFormat="1" x14ac:dyDescent="0.25">
      <c r="A65" s="36"/>
      <c r="D65"/>
      <c r="E65"/>
      <c r="G65"/>
      <c r="H65" t="s">
        <v>47</v>
      </c>
      <c r="O65"/>
      <c r="P65"/>
      <c r="Q65"/>
      <c r="R65"/>
    </row>
    <row r="66" spans="1:18" s="9" customFormat="1" ht="17.25" x14ac:dyDescent="0.25">
      <c r="A66" s="36"/>
      <c r="D66"/>
      <c r="E66"/>
      <c r="G66"/>
      <c r="H66" t="s">
        <v>48</v>
      </c>
      <c r="O66"/>
      <c r="P66"/>
      <c r="Q66"/>
      <c r="R66"/>
    </row>
    <row r="67" spans="1:18" s="9" customFormat="1" ht="18" x14ac:dyDescent="0.35">
      <c r="A67" s="36" t="s">
        <v>54</v>
      </c>
      <c r="B67" t="s">
        <v>77</v>
      </c>
      <c r="C67"/>
      <c r="D67"/>
      <c r="E67"/>
      <c r="O67"/>
      <c r="P67"/>
      <c r="Q67"/>
      <c r="R67"/>
    </row>
    <row r="68" spans="1:18" s="9" customFormat="1" ht="18" x14ac:dyDescent="0.35">
      <c r="A68" s="36" t="s">
        <v>49</v>
      </c>
      <c r="B68" t="s">
        <v>83</v>
      </c>
      <c r="C68"/>
      <c r="D68"/>
      <c r="E68"/>
      <c r="O68"/>
      <c r="P68"/>
      <c r="Q68"/>
      <c r="R68"/>
    </row>
    <row r="69" spans="1:18" s="9" customFormat="1" ht="18.75" x14ac:dyDescent="0.35">
      <c r="A69" s="36" t="s">
        <v>74</v>
      </c>
      <c r="B69" s="147" t="s">
        <v>79</v>
      </c>
      <c r="C69" s="37" t="s">
        <v>80</v>
      </c>
      <c r="D69"/>
      <c r="E69"/>
      <c r="F69" s="148" t="s">
        <v>82</v>
      </c>
      <c r="O69"/>
      <c r="P69"/>
      <c r="Q69"/>
      <c r="R69"/>
    </row>
    <row r="70" spans="1:18" s="9" customFormat="1" ht="18" x14ac:dyDescent="0.35">
      <c r="A70"/>
      <c r="B70" s="147"/>
      <c r="C70" t="s">
        <v>81</v>
      </c>
      <c r="D70"/>
      <c r="E70"/>
      <c r="F70" s="149"/>
      <c r="O70"/>
      <c r="P70"/>
      <c r="Q70"/>
      <c r="R70"/>
    </row>
    <row r="71" spans="1:18" s="9" customFormat="1" x14ac:dyDescent="0.25">
      <c r="B71"/>
      <c r="C71"/>
      <c r="D71"/>
      <c r="E71"/>
      <c r="O71"/>
      <c r="P71"/>
      <c r="Q71"/>
      <c r="R71"/>
    </row>
    <row r="72" spans="1:18" s="9" customFormat="1" x14ac:dyDescent="0.25">
      <c r="A72" s="36"/>
      <c r="B72"/>
      <c r="C72"/>
      <c r="D72"/>
      <c r="E72"/>
      <c r="O72"/>
      <c r="P72"/>
      <c r="Q72"/>
      <c r="R72"/>
    </row>
    <row r="73" spans="1:18" s="9" customFormat="1" x14ac:dyDescent="0.25">
      <c r="A73"/>
      <c r="B73"/>
      <c r="C73"/>
      <c r="D73"/>
      <c r="E73"/>
      <c r="O73"/>
      <c r="P73"/>
      <c r="Q73"/>
      <c r="R73"/>
    </row>
    <row r="74" spans="1:18" s="9" customFormat="1" x14ac:dyDescent="0.25">
      <c r="A74" s="36"/>
      <c r="B74"/>
      <c r="C74"/>
      <c r="D74"/>
      <c r="E74"/>
      <c r="O74"/>
      <c r="P74"/>
      <c r="Q74"/>
      <c r="R74"/>
    </row>
    <row r="75" spans="1:18" s="9" customFormat="1" x14ac:dyDescent="0.25">
      <c r="A75"/>
      <c r="B75"/>
      <c r="C75"/>
      <c r="D75"/>
      <c r="E75"/>
      <c r="O75"/>
      <c r="P75"/>
      <c r="Q75"/>
      <c r="R75"/>
    </row>
    <row r="76" spans="1:18" s="9" customFormat="1" x14ac:dyDescent="0.25">
      <c r="A76"/>
      <c r="B76"/>
      <c r="C76"/>
      <c r="D76"/>
      <c r="E76"/>
      <c r="O76"/>
      <c r="P76"/>
      <c r="Q76"/>
      <c r="R76"/>
    </row>
    <row r="77" spans="1:18" s="9" customFormat="1" x14ac:dyDescent="0.25">
      <c r="A77" s="36"/>
      <c r="B77"/>
      <c r="C77"/>
      <c r="D77"/>
      <c r="E77"/>
      <c r="O77"/>
      <c r="P77"/>
      <c r="Q77"/>
      <c r="R77"/>
    </row>
    <row r="78" spans="1:18" s="9" customFormat="1" x14ac:dyDescent="0.25">
      <c r="A78" s="36"/>
      <c r="B78"/>
      <c r="C78"/>
      <c r="D78"/>
      <c r="E78"/>
      <c r="O78"/>
      <c r="P78"/>
      <c r="Q78"/>
      <c r="R78"/>
    </row>
    <row r="79" spans="1:18" s="9" customFormat="1" x14ac:dyDescent="0.25">
      <c r="A79"/>
      <c r="B79"/>
      <c r="C79"/>
      <c r="D79"/>
      <c r="E79"/>
      <c r="O79"/>
      <c r="P79"/>
      <c r="Q79"/>
      <c r="R79"/>
    </row>
    <row r="80" spans="1:18" s="9" customFormat="1" x14ac:dyDescent="0.25">
      <c r="A80"/>
      <c r="B80"/>
      <c r="C80"/>
      <c r="D80"/>
      <c r="E80"/>
      <c r="O80"/>
      <c r="P80"/>
      <c r="Q80"/>
      <c r="R80"/>
    </row>
    <row r="81" spans="1:18" s="9" customFormat="1" x14ac:dyDescent="0.25">
      <c r="A81"/>
      <c r="B81"/>
      <c r="C81"/>
      <c r="D81"/>
      <c r="E81"/>
      <c r="O81"/>
      <c r="P81"/>
      <c r="Q81"/>
      <c r="R81"/>
    </row>
    <row r="82" spans="1:18" s="9" customFormat="1" x14ac:dyDescent="0.25">
      <c r="A82"/>
      <c r="B82"/>
      <c r="C82"/>
      <c r="D82"/>
      <c r="E82"/>
      <c r="O82"/>
      <c r="P82"/>
      <c r="Q82"/>
      <c r="R82"/>
    </row>
    <row r="83" spans="1:18" s="9" customFormat="1" x14ac:dyDescent="0.25">
      <c r="A83"/>
      <c r="B83"/>
      <c r="C83"/>
      <c r="D83"/>
      <c r="E83"/>
      <c r="O83"/>
      <c r="P83"/>
      <c r="Q83"/>
      <c r="R83"/>
    </row>
    <row r="84" spans="1:18" s="9" customFormat="1" x14ac:dyDescent="0.25">
      <c r="A84"/>
      <c r="B84"/>
      <c r="C84"/>
      <c r="D84"/>
      <c r="E84"/>
      <c r="O84"/>
      <c r="P84"/>
      <c r="Q84"/>
      <c r="R84"/>
    </row>
  </sheetData>
  <mergeCells count="7">
    <mergeCell ref="B69:B70"/>
    <mergeCell ref="F69:F70"/>
    <mergeCell ref="B59:B60"/>
    <mergeCell ref="F59:F60"/>
    <mergeCell ref="B61:B62"/>
    <mergeCell ref="E61:E62"/>
    <mergeCell ref="F61:F62"/>
  </mergeCells>
  <pageMargins left="0.7" right="0.7" top="0.75" bottom="0.75" header="0.3" footer="0.3"/>
  <pageSetup paperSize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K12" sqref="K12"/>
    </sheetView>
  </sheetViews>
  <sheetFormatPr defaultRowHeight="15" x14ac:dyDescent="0.25"/>
  <cols>
    <col min="1" max="1" width="8.7109375" customWidth="1"/>
    <col min="2" max="3" width="7.7109375" customWidth="1"/>
    <col min="4" max="4" width="10.5703125" customWidth="1"/>
    <col min="5" max="6" width="8.7109375" style="9" customWidth="1"/>
    <col min="7" max="7" width="12.7109375" style="14" customWidth="1"/>
  </cols>
  <sheetData>
    <row r="1" spans="1:7" s="2" customFormat="1" ht="23.25" x14ac:dyDescent="0.35">
      <c r="A1" s="2" t="s">
        <v>103</v>
      </c>
      <c r="E1" s="8"/>
      <c r="F1" s="8"/>
      <c r="G1" s="13"/>
    </row>
    <row r="2" spans="1:7" ht="21" x14ac:dyDescent="0.35">
      <c r="A2" s="3" t="s">
        <v>15</v>
      </c>
    </row>
    <row r="3" spans="1:7" ht="15.75" thickBot="1" x14ac:dyDescent="0.3"/>
    <row r="4" spans="1:7" ht="63.75" thickTop="1" thickBot="1" x14ac:dyDescent="0.3">
      <c r="A4" s="4" t="s">
        <v>1</v>
      </c>
      <c r="B4" s="5" t="s">
        <v>0</v>
      </c>
      <c r="C4" s="5" t="s">
        <v>12</v>
      </c>
      <c r="D4" s="5" t="s">
        <v>13</v>
      </c>
      <c r="E4" s="12" t="s">
        <v>17</v>
      </c>
      <c r="F4" s="12" t="s">
        <v>18</v>
      </c>
      <c r="G4" s="15" t="s">
        <v>20</v>
      </c>
    </row>
    <row r="5" spans="1:7" ht="16.5" thickTop="1" thickBot="1" x14ac:dyDescent="0.3">
      <c r="A5" s="16">
        <v>20</v>
      </c>
      <c r="B5" s="17">
        <v>2</v>
      </c>
      <c r="C5" s="18">
        <v>3.7</v>
      </c>
      <c r="D5" s="18">
        <v>29.77</v>
      </c>
      <c r="E5" s="19">
        <v>500</v>
      </c>
      <c r="F5" s="19">
        <f>2*E5</f>
        <v>1000</v>
      </c>
      <c r="G5" s="20">
        <f>0.32*D5*(A5+(2*(1/B5)*C5))/(C5^0.5)</f>
        <v>117.37518693473</v>
      </c>
    </row>
    <row r="6" spans="1:7" ht="15.75" thickTop="1" x14ac:dyDescent="0.25">
      <c r="A6" s="21"/>
      <c r="B6" s="21"/>
      <c r="C6" s="22"/>
      <c r="D6" s="22"/>
      <c r="E6" s="23"/>
      <c r="F6" s="23"/>
      <c r="G6" s="23"/>
    </row>
    <row r="8" spans="1:7" x14ac:dyDescent="0.25">
      <c r="A8" s="1" t="s">
        <v>11</v>
      </c>
    </row>
    <row r="9" spans="1:7" x14ac:dyDescent="0.25">
      <c r="A9" t="s">
        <v>19</v>
      </c>
    </row>
    <row r="10" spans="1:7" ht="18.75" x14ac:dyDescent="0.35">
      <c r="B10" t="s">
        <v>16</v>
      </c>
    </row>
    <row r="11" spans="1:7" x14ac:dyDescent="0.25">
      <c r="B11" t="s">
        <v>7</v>
      </c>
      <c r="C11" t="s">
        <v>8</v>
      </c>
    </row>
    <row r="12" spans="1:7" x14ac:dyDescent="0.25">
      <c r="C12" t="s">
        <v>14</v>
      </c>
    </row>
    <row r="13" spans="1:7" x14ac:dyDescent="0.25">
      <c r="C13" t="s">
        <v>87</v>
      </c>
    </row>
  </sheetData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Depth Requirement</vt:lpstr>
      <vt:lpstr>Roll Waves</vt:lpstr>
      <vt:lpstr>Easement Curves</vt:lpstr>
      <vt:lpstr>'Depth Requirement'!Print_Area</vt:lpstr>
      <vt:lpstr>'Easement Curves'!Print_Area</vt:lpstr>
      <vt:lpstr>'Roll Waves'!Print_Area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Owner</cp:lastModifiedBy>
  <cp:lastPrinted>2014-10-23T16:30:01Z</cp:lastPrinted>
  <dcterms:created xsi:type="dcterms:W3CDTF">2011-11-03T21:10:31Z</dcterms:created>
  <dcterms:modified xsi:type="dcterms:W3CDTF">2020-11-17T18:13:29Z</dcterms:modified>
</cp:coreProperties>
</file>