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33780 West Central Complete Streets\04 Engineering - PCN#\Proposed\Drainage\Preliminary\Documentation\Spreadsheets\"/>
    </mc:Choice>
  </mc:AlternateContent>
  <bookViews>
    <workbookView xWindow="0" yWindow="0" windowWidth="28800" windowHeight="12210" activeTab="5"/>
  </bookViews>
  <sheets>
    <sheet name="10-Yr Runoff" sheetId="14" r:id="rId1"/>
    <sheet name="100-yr Runoff" sheetId="15" r:id="rId2"/>
    <sheet name="Prop_10_yr_Runoff-Not Used" sheetId="10" state="hidden" r:id="rId3"/>
    <sheet name="10-year Spread" sheetId="11" r:id="rId4"/>
    <sheet name="100-year Street Criteria" sheetId="16" r:id="rId5"/>
    <sheet name="100-year interim ditch" sheetId="17" r:id="rId6"/>
    <sheet name="Not Used" sheetId="12" r:id="rId7"/>
    <sheet name="Spread100yrFlow" sheetId="13" state="hidden" r:id="rId8"/>
  </sheets>
  <definedNames>
    <definedName name="_xlnm.Print_Area" localSheetId="5">'100-year interim ditch'!$C$3:$K$19</definedName>
    <definedName name="_xlnm.Print_Area" localSheetId="4">'100-year Street Criteria'!$B$2:$AB$32</definedName>
    <definedName name="_xlnm.Print_Area" localSheetId="1">'100-yr Runoff'!#REF!</definedName>
    <definedName name="_xlnm.Print_Area" localSheetId="3">'10-year Spread'!$B$6:$Y$26</definedName>
    <definedName name="_xlnm.Print_Area" localSheetId="0">'10-Yr Runoff'!#REF!</definedName>
    <definedName name="_xlnm.Print_Area" localSheetId="2">'Prop_10_yr_Runoff-Not Used'!$B$2:$S$45</definedName>
    <definedName name="_xlnm.Print_Area" localSheetId="7">Spread100yrFlow!$B$6:$Q$22</definedName>
    <definedName name="_xlnm.Print_Titles" localSheetId="4">'100-year Street Criteria'!$4:$5</definedName>
    <definedName name="_xlnm.Print_Titles" localSheetId="3">'10-year Spread'!$8:$9</definedName>
  </definedNames>
  <calcPr calcId="171027"/>
</workbook>
</file>

<file path=xl/calcChain.xml><?xml version="1.0" encoding="utf-8"?>
<calcChain xmlns="http://schemas.openxmlformats.org/spreadsheetml/2006/main">
  <c r="B11" i="11" l="1"/>
  <c r="B31" i="16"/>
  <c r="B21" i="16"/>
  <c r="B19" i="16"/>
  <c r="F17" i="17" l="1"/>
  <c r="J17" i="17"/>
  <c r="AB8" i="16"/>
  <c r="W18" i="11"/>
  <c r="H8" i="16"/>
  <c r="H9" i="16"/>
  <c r="H10" i="16"/>
  <c r="H11" i="16"/>
  <c r="H14" i="16"/>
  <c r="H15" i="16"/>
  <c r="H16" i="16"/>
  <c r="H17" i="16"/>
  <c r="H18" i="16"/>
  <c r="H19" i="16"/>
  <c r="H20" i="16"/>
  <c r="H21" i="16"/>
  <c r="H22" i="16"/>
  <c r="H7" i="16"/>
  <c r="R25" i="16" l="1"/>
  <c r="R26" i="16"/>
  <c r="R27" i="16"/>
  <c r="R28" i="16"/>
  <c r="R29" i="16"/>
  <c r="R30" i="16"/>
  <c r="R31" i="16"/>
  <c r="R32" i="16"/>
  <c r="R24" i="16"/>
  <c r="R8" i="16"/>
  <c r="R9" i="16"/>
  <c r="R10" i="16"/>
  <c r="R11" i="16"/>
  <c r="R12" i="16"/>
  <c r="R13" i="16"/>
  <c r="R14" i="16"/>
  <c r="R15" i="16"/>
  <c r="R16" i="16"/>
  <c r="R17" i="16"/>
  <c r="R18" i="16"/>
  <c r="R19" i="16"/>
  <c r="R20" i="16"/>
  <c r="R21" i="16"/>
  <c r="R22" i="16"/>
  <c r="R7" i="16"/>
  <c r="T26" i="16"/>
  <c r="F25" i="16"/>
  <c r="U25" i="16"/>
  <c r="B12" i="11" l="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H7" i="15" l="1"/>
  <c r="I7" i="15"/>
  <c r="J7" i="15"/>
  <c r="K7" i="15"/>
  <c r="H8" i="15"/>
  <c r="I8" i="15"/>
  <c r="J8" i="15"/>
  <c r="K8" i="15"/>
  <c r="H9" i="15"/>
  <c r="I9" i="15"/>
  <c r="J9" i="15"/>
  <c r="K9" i="15"/>
  <c r="H10" i="15"/>
  <c r="I10" i="15"/>
  <c r="J10" i="15"/>
  <c r="K10" i="15"/>
  <c r="H11" i="15"/>
  <c r="I11" i="15"/>
  <c r="J11" i="15"/>
  <c r="K11" i="15"/>
  <c r="H12" i="15"/>
  <c r="I12" i="15"/>
  <c r="J12" i="15"/>
  <c r="K12" i="15"/>
  <c r="H13" i="15"/>
  <c r="I13" i="15"/>
  <c r="J13" i="15"/>
  <c r="K13" i="15"/>
  <c r="H14" i="15"/>
  <c r="I14" i="15"/>
  <c r="J14" i="15"/>
  <c r="K14" i="15"/>
  <c r="H15" i="15"/>
  <c r="I15" i="15"/>
  <c r="J15" i="15"/>
  <c r="K15" i="15"/>
  <c r="H16" i="15"/>
  <c r="I16" i="15"/>
  <c r="J16" i="15"/>
  <c r="K16" i="15"/>
  <c r="H17" i="15"/>
  <c r="I17" i="15"/>
  <c r="J17" i="15"/>
  <c r="K17" i="15"/>
  <c r="H18" i="15"/>
  <c r="I18" i="15"/>
  <c r="J18" i="15"/>
  <c r="K18" i="15"/>
  <c r="H19" i="15"/>
  <c r="I19" i="15"/>
  <c r="J19" i="15"/>
  <c r="K19" i="15"/>
  <c r="H20" i="15"/>
  <c r="I20" i="15"/>
  <c r="J20" i="15"/>
  <c r="K20" i="15"/>
  <c r="H21" i="15"/>
  <c r="I21" i="15"/>
  <c r="J21" i="15"/>
  <c r="K21" i="15"/>
  <c r="H22" i="15"/>
  <c r="I22" i="15"/>
  <c r="J22" i="15"/>
  <c r="K22" i="15"/>
  <c r="H26" i="15"/>
  <c r="I26" i="15"/>
  <c r="J26" i="15"/>
  <c r="K26" i="15"/>
  <c r="H27" i="15"/>
  <c r="I27" i="15"/>
  <c r="J27" i="15"/>
  <c r="K27" i="15"/>
  <c r="H28" i="15"/>
  <c r="I28" i="15"/>
  <c r="J28" i="15"/>
  <c r="K28" i="15"/>
  <c r="H29" i="15"/>
  <c r="I29" i="15"/>
  <c r="J29" i="15"/>
  <c r="K29" i="15"/>
  <c r="H30" i="15"/>
  <c r="I30" i="15"/>
  <c r="J30" i="15"/>
  <c r="K30" i="15"/>
  <c r="H31" i="15"/>
  <c r="I31" i="15"/>
  <c r="J31" i="15"/>
  <c r="K31" i="15"/>
  <c r="H32" i="15"/>
  <c r="I32" i="15"/>
  <c r="J32" i="15"/>
  <c r="K32" i="15"/>
  <c r="H33" i="15"/>
  <c r="I33" i="15"/>
  <c r="J33" i="15"/>
  <c r="K33" i="15"/>
  <c r="H34" i="15"/>
  <c r="I34" i="15"/>
  <c r="J34" i="15"/>
  <c r="K34" i="15"/>
  <c r="H35" i="15"/>
  <c r="I35" i="15"/>
  <c r="J35" i="15"/>
  <c r="K35" i="15"/>
  <c r="H36" i="15"/>
  <c r="I36" i="15"/>
  <c r="J36" i="15"/>
  <c r="K36" i="15"/>
  <c r="H37" i="15"/>
  <c r="I37" i="15"/>
  <c r="J37" i="15"/>
  <c r="K37" i="15"/>
  <c r="K6" i="15"/>
  <c r="J6" i="15"/>
  <c r="I6" i="15"/>
  <c r="H6" i="15"/>
  <c r="M7" i="15"/>
  <c r="N7" i="15"/>
  <c r="O7" i="15"/>
  <c r="P7" i="15"/>
  <c r="M8" i="15"/>
  <c r="N8" i="15"/>
  <c r="O8" i="15"/>
  <c r="P8" i="15"/>
  <c r="M9" i="15"/>
  <c r="N9" i="15"/>
  <c r="O9" i="15"/>
  <c r="P9" i="15"/>
  <c r="M10" i="15"/>
  <c r="N10" i="15"/>
  <c r="O10" i="15"/>
  <c r="P10" i="15"/>
  <c r="M11" i="15"/>
  <c r="N11" i="15"/>
  <c r="O11" i="15"/>
  <c r="P11" i="15"/>
  <c r="M12" i="15"/>
  <c r="N12" i="15"/>
  <c r="O12" i="15"/>
  <c r="P12" i="15"/>
  <c r="M13" i="15"/>
  <c r="N13" i="15"/>
  <c r="O13" i="15"/>
  <c r="P13" i="15"/>
  <c r="M14" i="15"/>
  <c r="N14" i="15"/>
  <c r="O14" i="15"/>
  <c r="P14" i="15"/>
  <c r="M15" i="15"/>
  <c r="N15" i="15"/>
  <c r="O15" i="15"/>
  <c r="P15" i="15"/>
  <c r="M16" i="15"/>
  <c r="N16" i="15"/>
  <c r="O16" i="15"/>
  <c r="P16" i="15"/>
  <c r="M17" i="15"/>
  <c r="N17" i="15"/>
  <c r="O17" i="15"/>
  <c r="P17" i="15"/>
  <c r="M18" i="15"/>
  <c r="N18" i="15"/>
  <c r="O18" i="15"/>
  <c r="P18" i="15"/>
  <c r="M19" i="15"/>
  <c r="N19" i="15"/>
  <c r="O19" i="15"/>
  <c r="P19" i="15"/>
  <c r="M20" i="15"/>
  <c r="N20" i="15"/>
  <c r="O20" i="15"/>
  <c r="P20" i="15"/>
  <c r="M21" i="15"/>
  <c r="N21" i="15"/>
  <c r="O21" i="15"/>
  <c r="P21" i="15"/>
  <c r="M22" i="15"/>
  <c r="N22" i="15"/>
  <c r="O22" i="15"/>
  <c r="P22" i="15"/>
  <c r="M26" i="15"/>
  <c r="N26" i="15"/>
  <c r="O26" i="15"/>
  <c r="P26" i="15"/>
  <c r="M27" i="15"/>
  <c r="N27" i="15"/>
  <c r="O27" i="15"/>
  <c r="P27" i="15"/>
  <c r="M28" i="15"/>
  <c r="N28" i="15"/>
  <c r="O28" i="15"/>
  <c r="P28" i="15"/>
  <c r="M29" i="15"/>
  <c r="N29" i="15"/>
  <c r="O29" i="15"/>
  <c r="P29" i="15"/>
  <c r="M30" i="15"/>
  <c r="N30" i="15"/>
  <c r="O30" i="15"/>
  <c r="P30" i="15"/>
  <c r="M31" i="15"/>
  <c r="N31" i="15"/>
  <c r="O31" i="15"/>
  <c r="P31" i="15"/>
  <c r="M32" i="15"/>
  <c r="N32" i="15"/>
  <c r="O32" i="15"/>
  <c r="P32" i="15"/>
  <c r="M33" i="15"/>
  <c r="N33" i="15"/>
  <c r="O33" i="15"/>
  <c r="P33" i="15"/>
  <c r="M34" i="15"/>
  <c r="N34" i="15"/>
  <c r="O34" i="15"/>
  <c r="P34" i="15"/>
  <c r="M35" i="15"/>
  <c r="N35" i="15"/>
  <c r="O35" i="15"/>
  <c r="P35" i="15"/>
  <c r="M36" i="15"/>
  <c r="N36" i="15"/>
  <c r="O36" i="15"/>
  <c r="P36" i="15"/>
  <c r="M37" i="15"/>
  <c r="N37" i="15"/>
  <c r="O37" i="15"/>
  <c r="P37" i="15"/>
  <c r="P6" i="15"/>
  <c r="O6" i="15"/>
  <c r="N6" i="15"/>
  <c r="M6" i="15"/>
  <c r="C6" i="15"/>
  <c r="J16" i="17" l="1"/>
  <c r="B14" i="16"/>
  <c r="J8" i="17" l="1"/>
  <c r="J9" i="17"/>
  <c r="J10" i="17"/>
  <c r="J11" i="17"/>
  <c r="J12" i="17"/>
  <c r="J13" i="17"/>
  <c r="J14" i="17"/>
  <c r="J15" i="17"/>
  <c r="J7" i="17"/>
  <c r="G13" i="17"/>
  <c r="G12" i="17"/>
  <c r="G11" i="17"/>
  <c r="G10" i="17"/>
  <c r="L28" i="15"/>
  <c r="F16" i="17" s="1"/>
  <c r="Q28" i="15"/>
  <c r="L33" i="14"/>
  <c r="Q33" i="14"/>
  <c r="L34" i="14"/>
  <c r="Q34" i="14"/>
  <c r="L35" i="14"/>
  <c r="Q35" i="14"/>
  <c r="L35" i="15"/>
  <c r="F12" i="17" s="1"/>
  <c r="Q35" i="15"/>
  <c r="L36" i="15"/>
  <c r="F13" i="17" s="1"/>
  <c r="Q36" i="15"/>
  <c r="L37" i="15"/>
  <c r="F14" i="17" s="1"/>
  <c r="Q37" i="15"/>
  <c r="R34" i="14" l="1"/>
  <c r="S34" i="14"/>
  <c r="R35" i="14"/>
  <c r="S35" i="14"/>
  <c r="R33" i="14"/>
  <c r="S33" i="14"/>
  <c r="R36" i="15"/>
  <c r="S36" i="15"/>
  <c r="R28" i="15"/>
  <c r="S28" i="15"/>
  <c r="R35" i="15"/>
  <c r="S35" i="15"/>
  <c r="S37" i="15"/>
  <c r="R37" i="15"/>
  <c r="E24" i="17"/>
  <c r="T32" i="16"/>
  <c r="X32" i="16"/>
  <c r="N32" i="16" s="1"/>
  <c r="O32" i="16" s="1"/>
  <c r="X31" i="16"/>
  <c r="N31" i="16" s="1"/>
  <c r="O31" i="16" s="1"/>
  <c r="X30" i="16"/>
  <c r="N30" i="16" s="1"/>
  <c r="O30" i="16" s="1"/>
  <c r="X29" i="16"/>
  <c r="N29" i="16" s="1"/>
  <c r="O29" i="16" s="1"/>
  <c r="X28" i="16"/>
  <c r="N28" i="16" s="1"/>
  <c r="O28" i="16" s="1"/>
  <c r="X27" i="16"/>
  <c r="N27" i="16" s="1"/>
  <c r="O27" i="16" s="1"/>
  <c r="X25" i="16"/>
  <c r="N25" i="16" s="1"/>
  <c r="O25" i="16" s="1"/>
  <c r="X26" i="16"/>
  <c r="N26" i="16" s="1"/>
  <c r="O26" i="16" s="1"/>
  <c r="X24" i="16"/>
  <c r="N24" i="16" s="1"/>
  <c r="O24" i="16" s="1"/>
  <c r="F24" i="16"/>
  <c r="U24" i="16" s="1"/>
  <c r="Y32" i="16" l="1"/>
  <c r="Y31" i="16"/>
  <c r="Y30" i="16"/>
  <c r="Y29" i="16"/>
  <c r="Y28" i="16"/>
  <c r="Y27" i="16"/>
  <c r="Y26" i="16"/>
  <c r="Y25" i="16"/>
  <c r="Y24" i="16"/>
  <c r="C7" i="15"/>
  <c r="L7" i="15" s="1"/>
  <c r="C8" i="15"/>
  <c r="Q8" i="15" s="1"/>
  <c r="C9" i="15"/>
  <c r="L9" i="15" s="1"/>
  <c r="C10" i="15"/>
  <c r="Q10" i="15" s="1"/>
  <c r="C11" i="15"/>
  <c r="L11" i="15" s="1"/>
  <c r="C12" i="15"/>
  <c r="L12" i="15" s="1"/>
  <c r="C13" i="15"/>
  <c r="L13" i="15" s="1"/>
  <c r="C14" i="15"/>
  <c r="Q14" i="15" s="1"/>
  <c r="L15" i="15"/>
  <c r="E24" i="16" s="1"/>
  <c r="T24" i="16" s="1"/>
  <c r="V24" i="16" s="1"/>
  <c r="AB24" i="16" s="1"/>
  <c r="L16" i="15"/>
  <c r="E25" i="16" s="1"/>
  <c r="T25" i="16" s="1"/>
  <c r="Q17" i="15"/>
  <c r="L18" i="15"/>
  <c r="E27" i="16" s="1"/>
  <c r="T27" i="16" s="1"/>
  <c r="L19" i="15"/>
  <c r="E28" i="16" s="1"/>
  <c r="T28" i="16" s="1"/>
  <c r="Q20" i="15"/>
  <c r="L20" i="15"/>
  <c r="E29" i="16" s="1"/>
  <c r="T29" i="16" s="1"/>
  <c r="L21" i="15"/>
  <c r="E30" i="16" s="1"/>
  <c r="T30" i="16" s="1"/>
  <c r="Q22" i="15"/>
  <c r="L26" i="15"/>
  <c r="F15" i="17" s="1"/>
  <c r="L27" i="15"/>
  <c r="L29" i="15"/>
  <c r="F6" i="17" s="1"/>
  <c r="Q30" i="15"/>
  <c r="L31" i="15"/>
  <c r="F8" i="17" s="1"/>
  <c r="L32" i="15"/>
  <c r="F9" i="17" s="1"/>
  <c r="L33" i="15"/>
  <c r="F10" i="17" s="1"/>
  <c r="L34" i="15"/>
  <c r="F11" i="17" s="1"/>
  <c r="U18" i="16"/>
  <c r="X19" i="16"/>
  <c r="N19" i="16" s="1"/>
  <c r="O19" i="16" s="1"/>
  <c r="T20" i="16"/>
  <c r="X20" i="16"/>
  <c r="N20" i="16" s="1"/>
  <c r="O20" i="16" s="1"/>
  <c r="X21" i="16"/>
  <c r="N21" i="16" s="1"/>
  <c r="O21" i="16" s="1"/>
  <c r="Y21" i="16"/>
  <c r="T22" i="16"/>
  <c r="X22" i="16"/>
  <c r="Y22" i="16" s="1"/>
  <c r="W22" i="11"/>
  <c r="W23" i="11"/>
  <c r="N23" i="11" s="1"/>
  <c r="P23" i="11" s="1"/>
  <c r="Q23" i="11" s="1"/>
  <c r="W24" i="11"/>
  <c r="N24" i="11" s="1"/>
  <c r="P24" i="11" s="1"/>
  <c r="Q24" i="11" s="1"/>
  <c r="W25" i="11"/>
  <c r="W26" i="11"/>
  <c r="N26" i="11" s="1"/>
  <c r="P26" i="11" s="1"/>
  <c r="T26" i="11"/>
  <c r="L26" i="11"/>
  <c r="R26" i="11"/>
  <c r="L25" i="11"/>
  <c r="M25" i="11"/>
  <c r="N25" i="11"/>
  <c r="P25" i="11" s="1"/>
  <c r="Q25" i="11" s="1"/>
  <c r="R25" i="11"/>
  <c r="U25" i="11"/>
  <c r="AE18" i="11"/>
  <c r="AE11" i="11"/>
  <c r="AE12" i="11" s="1"/>
  <c r="AE13" i="11" s="1"/>
  <c r="AE14" i="11" s="1"/>
  <c r="AE15" i="11" s="1"/>
  <c r="AE16" i="11" s="1"/>
  <c r="AE17" i="11" s="1"/>
  <c r="L24" i="11"/>
  <c r="M24" i="11" s="1"/>
  <c r="R24" i="11"/>
  <c r="L23" i="11"/>
  <c r="M23" i="11"/>
  <c r="R23" i="11"/>
  <c r="C7" i="14"/>
  <c r="C8" i="14"/>
  <c r="C9" i="14"/>
  <c r="C10" i="14"/>
  <c r="C11" i="14"/>
  <c r="C12" i="14"/>
  <c r="C13" i="14"/>
  <c r="C14" i="14"/>
  <c r="L29" i="14"/>
  <c r="L30" i="14"/>
  <c r="Q31" i="14"/>
  <c r="L32" i="14"/>
  <c r="C6" i="14"/>
  <c r="X8" i="16"/>
  <c r="Y8" i="16" s="1"/>
  <c r="X9" i="16"/>
  <c r="Y9" i="16" s="1"/>
  <c r="X10" i="16"/>
  <c r="N10" i="16" s="1"/>
  <c r="O10" i="16" s="1"/>
  <c r="X11" i="16"/>
  <c r="N11" i="16" s="1"/>
  <c r="O11" i="16" s="1"/>
  <c r="X12" i="16"/>
  <c r="N12" i="16" s="1"/>
  <c r="O12" i="16" s="1"/>
  <c r="X13" i="16"/>
  <c r="N13" i="16" s="1"/>
  <c r="O13" i="16" s="1"/>
  <c r="X14" i="16"/>
  <c r="N14" i="16" s="1"/>
  <c r="O14" i="16" s="1"/>
  <c r="X15" i="16"/>
  <c r="N15" i="16" s="1"/>
  <c r="O15" i="16" s="1"/>
  <c r="X16" i="16"/>
  <c r="N16" i="16" s="1"/>
  <c r="O16" i="16" s="1"/>
  <c r="X17" i="16"/>
  <c r="Y17" i="16" s="1"/>
  <c r="X18" i="16"/>
  <c r="Y18" i="16" s="1"/>
  <c r="X7" i="16"/>
  <c r="Y7" i="16" s="1"/>
  <c r="U9" i="16"/>
  <c r="T10" i="16"/>
  <c r="U11" i="16"/>
  <c r="U12" i="16"/>
  <c r="T13" i="16"/>
  <c r="U14" i="16"/>
  <c r="T15" i="16"/>
  <c r="U16" i="16"/>
  <c r="T17" i="16"/>
  <c r="U7" i="16"/>
  <c r="T8" i="16"/>
  <c r="M7" i="16"/>
  <c r="N22" i="11"/>
  <c r="P22" i="11" s="1"/>
  <c r="Q22" i="11" s="1"/>
  <c r="W21" i="11"/>
  <c r="W20" i="11"/>
  <c r="W19" i="11"/>
  <c r="W17" i="11"/>
  <c r="W16" i="11"/>
  <c r="W14" i="11"/>
  <c r="N14" i="11" s="1"/>
  <c r="P14" i="11" s="1"/>
  <c r="Q14" i="11" s="1"/>
  <c r="W13" i="11"/>
  <c r="W12" i="11"/>
  <c r="L14" i="11"/>
  <c r="M14" i="11"/>
  <c r="R14" i="11"/>
  <c r="T12" i="11"/>
  <c r="L12" i="11"/>
  <c r="M12" i="11" s="1"/>
  <c r="R12" i="11"/>
  <c r="N12" i="11"/>
  <c r="P12" i="11" s="1"/>
  <c r="Q12" i="11" s="1"/>
  <c r="W11" i="11"/>
  <c r="L22" i="11"/>
  <c r="M22" i="11"/>
  <c r="R22" i="11"/>
  <c r="Y15" i="16" l="1"/>
  <c r="R31" i="14"/>
  <c r="S31" i="14"/>
  <c r="R20" i="15"/>
  <c r="S20" i="15"/>
  <c r="R17" i="15"/>
  <c r="S17" i="15"/>
  <c r="R30" i="15"/>
  <c r="S30" i="15"/>
  <c r="R22" i="15"/>
  <c r="S22" i="15"/>
  <c r="R10" i="15"/>
  <c r="S10" i="15"/>
  <c r="R8" i="15"/>
  <c r="S8" i="15"/>
  <c r="S14" i="15"/>
  <c r="R14" i="15"/>
  <c r="G24" i="16"/>
  <c r="L17" i="15"/>
  <c r="E26" i="16" s="1"/>
  <c r="Q21" i="15"/>
  <c r="Q32" i="15"/>
  <c r="Q34" i="15"/>
  <c r="Q27" i="15"/>
  <c r="Q33" i="15"/>
  <c r="Q16" i="15"/>
  <c r="Q11" i="15"/>
  <c r="L14" i="15"/>
  <c r="L10" i="15"/>
  <c r="Q26" i="15"/>
  <c r="Q9" i="15"/>
  <c r="Q18" i="15"/>
  <c r="L30" i="15"/>
  <c r="F7" i="17" s="1"/>
  <c r="L22" i="15"/>
  <c r="E31" i="16" s="1"/>
  <c r="T31" i="16" s="1"/>
  <c r="Q12" i="15"/>
  <c r="L8" i="15"/>
  <c r="Q29" i="15"/>
  <c r="Q13" i="15"/>
  <c r="Q31" i="15"/>
  <c r="Q15" i="15"/>
  <c r="Q19" i="15"/>
  <c r="Q7" i="15"/>
  <c r="L31" i="14"/>
  <c r="Y13" i="16"/>
  <c r="Y20" i="16"/>
  <c r="N22" i="16"/>
  <c r="O22" i="16" s="1"/>
  <c r="N17" i="16"/>
  <c r="O17" i="16" s="1"/>
  <c r="Y19" i="16"/>
  <c r="Y16" i="16"/>
  <c r="AE19" i="11"/>
  <c r="AE20" i="11" s="1"/>
  <c r="AE21" i="11" s="1"/>
  <c r="AE22" i="11" s="1"/>
  <c r="AE23" i="11" s="1"/>
  <c r="AE24" i="11" s="1"/>
  <c r="T24" i="11"/>
  <c r="Q32" i="14"/>
  <c r="Q30" i="14"/>
  <c r="Q29" i="14"/>
  <c r="Y14" i="16"/>
  <c r="Y11" i="16"/>
  <c r="N18" i="16"/>
  <c r="O18" i="16" s="1"/>
  <c r="Y10" i="16"/>
  <c r="N9" i="16"/>
  <c r="O9" i="16" s="1"/>
  <c r="Y12" i="16"/>
  <c r="N8" i="16"/>
  <c r="O8" i="16" s="1"/>
  <c r="N7" i="16"/>
  <c r="O7" i="16" s="1"/>
  <c r="P7" i="16" s="1"/>
  <c r="Q7" i="16" s="1"/>
  <c r="T14" i="11"/>
  <c r="R13" i="11"/>
  <c r="R15" i="11"/>
  <c r="R16" i="11"/>
  <c r="R17" i="11"/>
  <c r="R18" i="11"/>
  <c r="R19" i="11"/>
  <c r="R20" i="11"/>
  <c r="R21" i="11"/>
  <c r="R11" i="11"/>
  <c r="R30" i="14" l="1"/>
  <c r="S30" i="14"/>
  <c r="R29" i="14"/>
  <c r="S29" i="14"/>
  <c r="R32" i="14"/>
  <c r="S32" i="14"/>
  <c r="R16" i="15"/>
  <c r="S16" i="15"/>
  <c r="R31" i="15"/>
  <c r="S31" i="15"/>
  <c r="R33" i="15"/>
  <c r="S33" i="15"/>
  <c r="S15" i="15"/>
  <c r="R15" i="15"/>
  <c r="R29" i="15"/>
  <c r="S29" i="15"/>
  <c r="S27" i="15"/>
  <c r="R27" i="15"/>
  <c r="R32" i="15"/>
  <c r="S32" i="15"/>
  <c r="R34" i="15"/>
  <c r="S34" i="15"/>
  <c r="R21" i="15"/>
  <c r="S21" i="15"/>
  <c r="R26" i="15"/>
  <c r="S26" i="15"/>
  <c r="R18" i="15"/>
  <c r="S18" i="15"/>
  <c r="R19" i="15"/>
  <c r="S19" i="15"/>
  <c r="R12" i="15"/>
  <c r="S12" i="15"/>
  <c r="S9" i="15"/>
  <c r="R9" i="15"/>
  <c r="R11" i="15"/>
  <c r="S11" i="15"/>
  <c r="R13" i="15"/>
  <c r="S13" i="15"/>
  <c r="R7" i="15"/>
  <c r="S7" i="15"/>
  <c r="L15" i="11"/>
  <c r="L13" i="11"/>
  <c r="L16" i="11"/>
  <c r="M16" i="11" s="1"/>
  <c r="L17" i="11"/>
  <c r="M17" i="11" s="1"/>
  <c r="L18" i="11"/>
  <c r="M18" i="11" s="1"/>
  <c r="L19" i="11"/>
  <c r="M19" i="11" s="1"/>
  <c r="L20" i="11"/>
  <c r="M20" i="11" s="1"/>
  <c r="L21" i="11"/>
  <c r="M21" i="11" s="1"/>
  <c r="L11" i="11"/>
  <c r="T21" i="11"/>
  <c r="N21" i="11"/>
  <c r="P21" i="11" s="1"/>
  <c r="Q21" i="11" s="1"/>
  <c r="N20" i="11"/>
  <c r="P20" i="11" s="1"/>
  <c r="Q20" i="11" s="1"/>
  <c r="N19" i="11"/>
  <c r="P19" i="11" s="1"/>
  <c r="Q19" i="11" s="1"/>
  <c r="T19" i="11"/>
  <c r="N18" i="11"/>
  <c r="P18" i="11"/>
  <c r="Q18" i="11" s="1"/>
  <c r="N17" i="11"/>
  <c r="P17" i="11" s="1"/>
  <c r="Q17" i="11" s="1"/>
  <c r="N16" i="11"/>
  <c r="P16" i="11"/>
  <c r="Q16" i="11" s="1"/>
  <c r="N13" i="11"/>
  <c r="N15" i="11"/>
  <c r="N11" i="11"/>
  <c r="L12" i="14" l="1"/>
  <c r="E22" i="11" s="1"/>
  <c r="T22" i="11" s="1"/>
  <c r="T17" i="11"/>
  <c r="C21" i="12"/>
  <c r="C22" i="12" s="1"/>
  <c r="M15" i="11"/>
  <c r="P15" i="11"/>
  <c r="Q15" i="11" s="1"/>
  <c r="M13" i="11"/>
  <c r="P13" i="11"/>
  <c r="Q13" i="11" s="1"/>
  <c r="M11" i="11" l="1"/>
  <c r="Q16" i="14" l="1"/>
  <c r="L16" i="14"/>
  <c r="Q36" i="14"/>
  <c r="L36" i="14"/>
  <c r="Q23" i="14"/>
  <c r="L23" i="14"/>
  <c r="S36" i="14" l="1"/>
  <c r="R36" i="14"/>
  <c r="R16" i="14"/>
  <c r="S16" i="14"/>
  <c r="R23" i="14"/>
  <c r="S23" i="14"/>
  <c r="P11" i="11"/>
  <c r="Q11" i="11" s="1"/>
  <c r="E21" i="16" l="1"/>
  <c r="E19" i="16"/>
  <c r="T19" i="16" s="1"/>
  <c r="E18" i="16"/>
  <c r="E16" i="16"/>
  <c r="E14" i="16"/>
  <c r="E12" i="16"/>
  <c r="E11" i="16"/>
  <c r="E9" i="16"/>
  <c r="Q6" i="15"/>
  <c r="L6" i="15"/>
  <c r="E7" i="16" s="1"/>
  <c r="G7" i="16" s="1"/>
  <c r="Q21" i="14"/>
  <c r="L21" i="14"/>
  <c r="Q20" i="14"/>
  <c r="L20" i="14"/>
  <c r="Q19" i="14"/>
  <c r="L19" i="14"/>
  <c r="Q18" i="14"/>
  <c r="L18" i="14"/>
  <c r="Q17" i="14"/>
  <c r="L17" i="14"/>
  <c r="Q14" i="14"/>
  <c r="L14" i="14"/>
  <c r="E25" i="11" s="1"/>
  <c r="Q13" i="14"/>
  <c r="L13" i="14"/>
  <c r="E23" i="11" s="1"/>
  <c r="L22" i="14"/>
  <c r="Q22" i="14"/>
  <c r="Q28" i="14"/>
  <c r="L28" i="14"/>
  <c r="S21" i="14" l="1"/>
  <c r="R21" i="14"/>
  <c r="R19" i="14"/>
  <c r="S19" i="14"/>
  <c r="R20" i="14"/>
  <c r="S20" i="14"/>
  <c r="R13" i="14"/>
  <c r="S13" i="14"/>
  <c r="R14" i="14"/>
  <c r="S14" i="14"/>
  <c r="R28" i="14"/>
  <c r="S28" i="14"/>
  <c r="R22" i="14"/>
  <c r="S22" i="14"/>
  <c r="R17" i="14"/>
  <c r="S17" i="14"/>
  <c r="R18" i="14"/>
  <c r="S18" i="14"/>
  <c r="S6" i="15"/>
  <c r="R6" i="15"/>
  <c r="G25" i="11"/>
  <c r="T25" i="11"/>
  <c r="V25" i="11" s="1"/>
  <c r="Y25" i="11" s="1"/>
  <c r="F26" i="11" s="1"/>
  <c r="T23" i="11"/>
  <c r="T21" i="16"/>
  <c r="G21" i="16"/>
  <c r="T14" i="16"/>
  <c r="V14" i="16" s="1"/>
  <c r="AB14" i="16" s="1"/>
  <c r="F15" i="16" s="1"/>
  <c r="G14" i="16"/>
  <c r="T18" i="16"/>
  <c r="V18" i="16" s="1"/>
  <c r="AB18" i="16" s="1"/>
  <c r="F19" i="16" s="1"/>
  <c r="G18" i="16"/>
  <c r="T16" i="16"/>
  <c r="V16" i="16" s="1"/>
  <c r="AB16" i="16" s="1"/>
  <c r="F17" i="16" s="1"/>
  <c r="G16" i="16"/>
  <c r="T11" i="16"/>
  <c r="V11" i="16" s="1"/>
  <c r="AB11" i="16" s="1"/>
  <c r="G11" i="16"/>
  <c r="T12" i="16"/>
  <c r="V12" i="16" s="1"/>
  <c r="AB12" i="16" s="1"/>
  <c r="F13" i="16" s="1"/>
  <c r="G12" i="16"/>
  <c r="T9" i="16"/>
  <c r="V9" i="16" s="1"/>
  <c r="AB9" i="16" s="1"/>
  <c r="F10" i="16" s="1"/>
  <c r="G9" i="16"/>
  <c r="T7" i="16"/>
  <c r="V7" i="16" s="1"/>
  <c r="AB7" i="16" s="1"/>
  <c r="F8" i="16" s="1"/>
  <c r="U26" i="11" l="1"/>
  <c r="V26" i="11" s="1"/>
  <c r="Y26" i="11" s="1"/>
  <c r="G26" i="11"/>
  <c r="U10" i="16"/>
  <c r="V10" i="16" s="1"/>
  <c r="AB10" i="16" s="1"/>
  <c r="G10" i="16"/>
  <c r="U19" i="16"/>
  <c r="V19" i="16" s="1"/>
  <c r="AB19" i="16" s="1"/>
  <c r="G19" i="16"/>
  <c r="U13" i="16"/>
  <c r="V13" i="16" s="1"/>
  <c r="AB13" i="16" s="1"/>
  <c r="G13" i="16"/>
  <c r="U17" i="16"/>
  <c r="V17" i="16" s="1"/>
  <c r="AB17" i="16" s="1"/>
  <c r="G17" i="16"/>
  <c r="U8" i="16"/>
  <c r="V8" i="16" s="1"/>
  <c r="G8" i="16"/>
  <c r="U15" i="16"/>
  <c r="V15" i="16" s="1"/>
  <c r="AB15" i="16" s="1"/>
  <c r="G15" i="16"/>
  <c r="Q27" i="14"/>
  <c r="L27" i="14"/>
  <c r="Q37" i="14"/>
  <c r="L37" i="14"/>
  <c r="Q12" i="14"/>
  <c r="Q11" i="14"/>
  <c r="L11" i="14"/>
  <c r="E20" i="11" s="1"/>
  <c r="T20" i="11" s="1"/>
  <c r="Q10" i="14"/>
  <c r="L10" i="14"/>
  <c r="E18" i="11" s="1"/>
  <c r="T18" i="11" s="1"/>
  <c r="Q9" i="14"/>
  <c r="L9" i="14"/>
  <c r="E16" i="11" s="1"/>
  <c r="T16" i="11" s="1"/>
  <c r="Q8" i="14"/>
  <c r="L8" i="14"/>
  <c r="Q7" i="14"/>
  <c r="L7" i="14"/>
  <c r="Q6" i="14"/>
  <c r="L6" i="14"/>
  <c r="R11" i="14" l="1"/>
  <c r="S11" i="14"/>
  <c r="R9" i="14"/>
  <c r="S9" i="14"/>
  <c r="R10" i="14"/>
  <c r="S10" i="14"/>
  <c r="R27" i="14"/>
  <c r="S27" i="14"/>
  <c r="R12" i="14"/>
  <c r="S12" i="14"/>
  <c r="R37" i="14"/>
  <c r="S37" i="14"/>
  <c r="S7" i="14"/>
  <c r="R7" i="14"/>
  <c r="R8" i="14"/>
  <c r="S8" i="14"/>
  <c r="S6" i="14"/>
  <c r="R6" i="14"/>
  <c r="V25" i="16"/>
  <c r="AB25" i="16" s="1"/>
  <c r="F26" i="16" s="1"/>
  <c r="G25" i="16"/>
  <c r="F20" i="16"/>
  <c r="G20" i="16" s="1"/>
  <c r="E15" i="11"/>
  <c r="T15" i="11" s="1"/>
  <c r="E13" i="11"/>
  <c r="T13" i="11" s="1"/>
  <c r="E11" i="11"/>
  <c r="T11" i="11" s="1"/>
  <c r="XEW30" i="15"/>
  <c r="U26" i="16" l="1"/>
  <c r="V26" i="16" s="1"/>
  <c r="AB26" i="16" s="1"/>
  <c r="F27" i="16" s="1"/>
  <c r="G26" i="16"/>
  <c r="U20" i="16"/>
  <c r="V20" i="16" s="1"/>
  <c r="AB20" i="16" s="1"/>
  <c r="U21" i="16" s="1"/>
  <c r="V21" i="16" s="1"/>
  <c r="AB21" i="16" s="1"/>
  <c r="F22" i="16" s="1"/>
  <c r="Q53" i="10"/>
  <c r="R53" i="10" s="1"/>
  <c r="L53" i="10"/>
  <c r="Q52" i="10"/>
  <c r="R52" i="10" s="1"/>
  <c r="L52" i="10"/>
  <c r="U27" i="16" l="1"/>
  <c r="V27" i="16" s="1"/>
  <c r="AB27" i="16" s="1"/>
  <c r="F28" i="16" s="1"/>
  <c r="G27" i="16"/>
  <c r="U22" i="16"/>
  <c r="V22" i="16" s="1"/>
  <c r="AB22" i="16" s="1"/>
  <c r="G22" i="16"/>
  <c r="AC34" i="10"/>
  <c r="U28" i="16" l="1"/>
  <c r="V28" i="16" s="1"/>
  <c r="AB28" i="16" s="1"/>
  <c r="F29" i="16" s="1"/>
  <c r="G28" i="16"/>
  <c r="Q21" i="10"/>
  <c r="L21" i="10"/>
  <c r="F3" i="12"/>
  <c r="F5" i="12" s="1"/>
  <c r="A11" i="12"/>
  <c r="A9" i="12" s="1"/>
  <c r="A7" i="12" s="1"/>
  <c r="A5" i="12" s="1"/>
  <c r="A3" i="12" s="1"/>
  <c r="A1" i="12" s="1"/>
  <c r="H22" i="13"/>
  <c r="B22" i="13"/>
  <c r="I22" i="13" s="1"/>
  <c r="K22" i="13" s="1"/>
  <c r="O22" i="13" s="1"/>
  <c r="P22" i="13" s="1"/>
  <c r="H21" i="13"/>
  <c r="B21" i="13"/>
  <c r="I21" i="13" s="1"/>
  <c r="K21" i="13" s="1"/>
  <c r="O21" i="13" s="1"/>
  <c r="P21" i="13" s="1"/>
  <c r="H20" i="13"/>
  <c r="B20" i="13"/>
  <c r="I20" i="13" s="1"/>
  <c r="K20" i="13" s="1"/>
  <c r="O20" i="13" s="1"/>
  <c r="P20" i="13" s="1"/>
  <c r="H19" i="13"/>
  <c r="B19" i="13"/>
  <c r="I19" i="13" s="1"/>
  <c r="K19" i="13" s="1"/>
  <c r="O19" i="13" s="1"/>
  <c r="P19" i="13" s="1"/>
  <c r="I18" i="13"/>
  <c r="K18" i="13" s="1"/>
  <c r="O18" i="13" s="1"/>
  <c r="H18" i="13"/>
  <c r="I16" i="13"/>
  <c r="K16" i="13" s="1"/>
  <c r="O16" i="13" s="1"/>
  <c r="H16" i="13"/>
  <c r="I15" i="13"/>
  <c r="K15" i="13" s="1"/>
  <c r="O15" i="13" s="1"/>
  <c r="H15" i="13"/>
  <c r="I14" i="13"/>
  <c r="K14" i="13" s="1"/>
  <c r="O14" i="13" s="1"/>
  <c r="H14" i="13"/>
  <c r="I13" i="13"/>
  <c r="K13" i="13" s="1"/>
  <c r="O13" i="13" s="1"/>
  <c r="H13" i="13"/>
  <c r="I12" i="13"/>
  <c r="K12" i="13" s="1"/>
  <c r="O12" i="13" s="1"/>
  <c r="H12" i="13"/>
  <c r="I11" i="13"/>
  <c r="K11" i="13" s="1"/>
  <c r="O11" i="13" s="1"/>
  <c r="H11" i="13"/>
  <c r="Q44" i="10"/>
  <c r="L44" i="10"/>
  <c r="L36" i="10"/>
  <c r="U29" i="16" l="1"/>
  <c r="V29" i="16" s="1"/>
  <c r="AB29" i="16" s="1"/>
  <c r="F30" i="16" s="1"/>
  <c r="G29" i="16"/>
  <c r="S44" i="10"/>
  <c r="R44" i="10"/>
  <c r="P11" i="13"/>
  <c r="P12" i="13"/>
  <c r="P13" i="13"/>
  <c r="P14" i="13"/>
  <c r="P15" i="13"/>
  <c r="P16" i="13"/>
  <c r="P18" i="13"/>
  <c r="S21" i="10"/>
  <c r="R21" i="10"/>
  <c r="U30" i="16" l="1"/>
  <c r="V30" i="16" s="1"/>
  <c r="AB30" i="16" s="1"/>
  <c r="F31" i="16" s="1"/>
  <c r="G30" i="16"/>
  <c r="AE16" i="10"/>
  <c r="AD16" i="10"/>
  <c r="Q43" i="10"/>
  <c r="L43" i="10"/>
  <c r="Q42" i="10"/>
  <c r="L42" i="10"/>
  <c r="Q41" i="10"/>
  <c r="L41" i="10"/>
  <c r="Q40" i="10"/>
  <c r="L40" i="10"/>
  <c r="Q38" i="10"/>
  <c r="L38" i="10"/>
  <c r="U31" i="16" l="1"/>
  <c r="V31" i="16" s="1"/>
  <c r="AB31" i="16" s="1"/>
  <c r="F32" i="16" s="1"/>
  <c r="S38" i="10"/>
  <c r="R38" i="10"/>
  <c r="S40" i="10"/>
  <c r="R40" i="10"/>
  <c r="S41" i="10"/>
  <c r="R41" i="10"/>
  <c r="S42" i="10"/>
  <c r="R42" i="10"/>
  <c r="S43" i="10"/>
  <c r="R43" i="10"/>
  <c r="Q20" i="10"/>
  <c r="L20" i="10"/>
  <c r="AD20" i="10" s="1"/>
  <c r="Q19" i="10"/>
  <c r="L19" i="10"/>
  <c r="AD19" i="10" s="1"/>
  <c r="Q18" i="10"/>
  <c r="L18" i="10"/>
  <c r="AD18" i="10" s="1"/>
  <c r="Q17" i="10"/>
  <c r="L17" i="10"/>
  <c r="U32" i="16" l="1"/>
  <c r="V32" i="16" s="1"/>
  <c r="AB32" i="16" s="1"/>
  <c r="G32" i="16"/>
  <c r="S17" i="10"/>
  <c r="R17" i="10"/>
  <c r="S18" i="10"/>
  <c r="R18" i="10"/>
  <c r="S19" i="10"/>
  <c r="R19" i="10"/>
  <c r="S20" i="10"/>
  <c r="R20" i="10"/>
  <c r="AE20" i="10"/>
  <c r="AE19" i="10"/>
  <c r="AE18" i="10"/>
  <c r="AE17" i="10"/>
  <c r="AD17" i="10"/>
  <c r="Q37" i="10"/>
  <c r="L37" i="10"/>
  <c r="AC30" i="10" s="1"/>
  <c r="Q36" i="10"/>
  <c r="Q35" i="10"/>
  <c r="L35" i="10"/>
  <c r="Q34" i="10"/>
  <c r="L34" i="10"/>
  <c r="Q33" i="10"/>
  <c r="L33" i="10"/>
  <c r="Q32" i="10"/>
  <c r="L32" i="10"/>
  <c r="Q31" i="10"/>
  <c r="L31" i="10"/>
  <c r="Q30" i="10"/>
  <c r="L30" i="10"/>
  <c r="Q29" i="10"/>
  <c r="L29" i="10"/>
  <c r="Q28" i="10"/>
  <c r="L28" i="10"/>
  <c r="Q15" i="10"/>
  <c r="L15" i="10"/>
  <c r="AD15" i="10" s="1"/>
  <c r="Q14" i="10"/>
  <c r="L14" i="10"/>
  <c r="Q13" i="10"/>
  <c r="L13" i="10"/>
  <c r="Q12" i="10"/>
  <c r="L12" i="10"/>
  <c r="Q11" i="10"/>
  <c r="L11" i="10"/>
  <c r="Q10" i="10"/>
  <c r="L10" i="10"/>
  <c r="Q9" i="10"/>
  <c r="L9" i="10"/>
  <c r="Q8" i="10"/>
  <c r="L8" i="10"/>
  <c r="S8" i="10" l="1"/>
  <c r="R8" i="10"/>
  <c r="S9" i="10"/>
  <c r="R9" i="10"/>
  <c r="S10" i="10"/>
  <c r="R10" i="10"/>
  <c r="S11" i="10"/>
  <c r="R11" i="10"/>
  <c r="S12" i="10"/>
  <c r="R12" i="10"/>
  <c r="S13" i="10"/>
  <c r="R13" i="10"/>
  <c r="S14" i="10"/>
  <c r="R14" i="10"/>
  <c r="S15" i="10"/>
  <c r="R15" i="10"/>
  <c r="S28" i="10"/>
  <c r="R28" i="10"/>
  <c r="S29" i="10"/>
  <c r="R29" i="10"/>
  <c r="S30" i="10"/>
  <c r="R30" i="10"/>
  <c r="S31" i="10"/>
  <c r="R31" i="10"/>
  <c r="S32" i="10"/>
  <c r="R32" i="10"/>
  <c r="S33" i="10"/>
  <c r="R33" i="10"/>
  <c r="S34" i="10"/>
  <c r="R34" i="10"/>
  <c r="S35" i="10"/>
  <c r="R35" i="10"/>
  <c r="S36" i="10"/>
  <c r="R36" i="10"/>
  <c r="S37" i="10"/>
  <c r="R37" i="10"/>
  <c r="AE8" i="10"/>
  <c r="AE13" i="10"/>
  <c r="AE10" i="10"/>
  <c r="AE9" i="10"/>
  <c r="AE15" i="10"/>
  <c r="AA32" i="10"/>
  <c r="AA44" i="10"/>
  <c r="AE12" i="10"/>
  <c r="AB44" i="10"/>
  <c r="AD12" i="10"/>
  <c r="AD8" i="10"/>
  <c r="AB30" i="10"/>
  <c r="AD9" i="10"/>
  <c r="AD10" i="10"/>
  <c r="AD14" i="10"/>
  <c r="AC25" i="10"/>
  <c r="AD13" i="10"/>
  <c r="AD11" i="10"/>
  <c r="AE11" i="10"/>
  <c r="Q7" i="10"/>
  <c r="Q6" i="10"/>
  <c r="Q5" i="10"/>
  <c r="L7" i="10"/>
  <c r="L6" i="10"/>
  <c r="AD6" i="10" s="1"/>
  <c r="L5" i="10"/>
  <c r="S5" i="10" l="1"/>
  <c r="R5" i="10"/>
  <c r="S6" i="10"/>
  <c r="R6" i="10"/>
  <c r="S7" i="10"/>
  <c r="R7" i="10"/>
  <c r="AE14" i="10"/>
  <c r="AH20" i="10" s="1"/>
  <c r="AE7" i="10"/>
  <c r="AA21" i="10"/>
  <c r="AA46" i="10" s="1"/>
  <c r="AB8" i="10"/>
  <c r="AA20" i="10"/>
  <c r="AE6" i="10"/>
  <c r="AE5" i="10"/>
  <c r="AA27" i="10"/>
  <c r="AJ6" i="10"/>
  <c r="AG20" i="10"/>
  <c r="AD5" i="10"/>
  <c r="AG6" i="10" s="1"/>
  <c r="AD7" i="10"/>
  <c r="AB25" i="10"/>
  <c r="AE23" i="10" l="1"/>
  <c r="AB21" i="10"/>
  <c r="AB46" i="10" s="1"/>
  <c r="AK6" i="10"/>
  <c r="AH10" i="10"/>
  <c r="AH6" i="10"/>
  <c r="AC27" i="10"/>
  <c r="AB20" i="10"/>
  <c r="AB27" i="10"/>
  <c r="AD23" i="10"/>
  <c r="AG10" i="10"/>
  <c r="X7" i="10" l="1"/>
  <c r="X5" i="10" l="1"/>
  <c r="Y5" i="10" s="1"/>
  <c r="Y7" i="10"/>
  <c r="G11" i="11"/>
  <c r="U11" i="11"/>
  <c r="V11" i="11" s="1"/>
  <c r="Y11" i="11" s="1"/>
  <c r="G13" i="11" l="1"/>
  <c r="F12" i="11"/>
  <c r="U13" i="11"/>
  <c r="V13" i="11" s="1"/>
  <c r="Y13" i="11" s="1"/>
  <c r="F14" i="11" s="1"/>
  <c r="U14" i="11" l="1"/>
  <c r="V14" i="11" s="1"/>
  <c r="Y14" i="11" s="1"/>
  <c r="G14" i="11"/>
  <c r="U12" i="11"/>
  <c r="V12" i="11" s="1"/>
  <c r="Y12" i="11" s="1"/>
  <c r="G12" i="11"/>
  <c r="U15" i="11"/>
  <c r="V15" i="11" s="1"/>
  <c r="Y15" i="11" s="1"/>
  <c r="U16" i="11" l="1"/>
  <c r="V16" i="11" s="1"/>
  <c r="Y16" i="11" s="1"/>
  <c r="F17" i="11" s="1"/>
  <c r="G16" i="11"/>
  <c r="G15" i="11"/>
  <c r="U17" i="11" l="1"/>
  <c r="V17" i="11" s="1"/>
  <c r="Y17" i="11" s="1"/>
  <c r="G17" i="11"/>
  <c r="U18" i="11" l="1"/>
  <c r="V18" i="11" s="1"/>
  <c r="Y18" i="11" s="1"/>
  <c r="F19" i="11" s="1"/>
  <c r="G18" i="11"/>
  <c r="U19" i="11" l="1"/>
  <c r="V19" i="11" s="1"/>
  <c r="Y19" i="11" s="1"/>
  <c r="G19" i="11"/>
  <c r="G20" i="11" l="1"/>
  <c r="U20" i="11"/>
  <c r="V20" i="11" s="1"/>
  <c r="Y20" i="11" s="1"/>
  <c r="F21" i="11" s="1"/>
  <c r="U21" i="11" l="1"/>
  <c r="V21" i="11" s="1"/>
  <c r="Y21" i="11" s="1"/>
  <c r="G21" i="11"/>
  <c r="U22" i="11" l="1"/>
  <c r="V22" i="11" s="1"/>
  <c r="Y22" i="11" s="1"/>
  <c r="F23" i="11" s="1"/>
  <c r="G22" i="11"/>
  <c r="U23" i="11" l="1"/>
  <c r="V23" i="11" s="1"/>
  <c r="Y23" i="11" s="1"/>
  <c r="F24" i="11" s="1"/>
  <c r="G23" i="11"/>
  <c r="U24" i="11" l="1"/>
  <c r="V24" i="11" s="1"/>
  <c r="Y24" i="11" s="1"/>
  <c r="G24" i="11"/>
</calcChain>
</file>

<file path=xl/sharedStrings.xml><?xml version="1.0" encoding="utf-8"?>
<sst xmlns="http://schemas.openxmlformats.org/spreadsheetml/2006/main" count="659" uniqueCount="209">
  <si>
    <t>Basin ID</t>
  </si>
  <si>
    <t>Basin Area
(acres)</t>
  </si>
  <si>
    <t>Land Treatment</t>
  </si>
  <si>
    <t>Peak Discharge Rates</t>
  </si>
  <si>
    <t>Peak Discharge
(100-yr)</t>
  </si>
  <si>
    <t>Excess Precipitation Rates</t>
  </si>
  <si>
    <t>Vol
 100yr-6hr
(acre-ft)</t>
  </si>
  <si>
    <t>Vol
 100-yr, 24-hr
(acre-ft)</t>
  </si>
  <si>
    <t>Vol
 100-yr, 10-day
(acre-ft)</t>
  </si>
  <si>
    <t>A
(%)</t>
  </si>
  <si>
    <t>B
(%)</t>
  </si>
  <si>
    <t>C
(%)</t>
  </si>
  <si>
    <t>D
(%)</t>
  </si>
  <si>
    <t>A
(cfs/acre)</t>
  </si>
  <si>
    <t>B
(cfs/acre)</t>
  </si>
  <si>
    <t>C
(cfs/acre)</t>
  </si>
  <si>
    <t>D
(cfs/acre)</t>
  </si>
  <si>
    <t>A
(inches)</t>
  </si>
  <si>
    <t>B
(inches)</t>
  </si>
  <si>
    <t>C
(inches)</t>
  </si>
  <si>
    <t>D
(inches)</t>
  </si>
  <si>
    <t>R1P</t>
  </si>
  <si>
    <t>R2P</t>
  </si>
  <si>
    <t>R3P</t>
  </si>
  <si>
    <t>R4P</t>
  </si>
  <si>
    <t>R5P</t>
  </si>
  <si>
    <t>R6P</t>
  </si>
  <si>
    <t>R7P</t>
  </si>
  <si>
    <t>R8P</t>
  </si>
  <si>
    <t>R9P</t>
  </si>
  <si>
    <t>A</t>
  </si>
  <si>
    <t>B</t>
  </si>
  <si>
    <t>Vol
 10yr-6hr
(acre-ft)</t>
  </si>
  <si>
    <t>Vol
 10-yr, 24-hr
(acre-ft)</t>
  </si>
  <si>
    <t>Vol
 10-yr, 10-day
(acre-ft)</t>
  </si>
  <si>
    <t>Woodward Road Proposed Discharge and Runoff Volume Calculations</t>
  </si>
  <si>
    <t>Land Use</t>
  </si>
  <si>
    <t>Peak Discharge
(10-yr)</t>
  </si>
  <si>
    <t>Excess Precipitation</t>
  </si>
  <si>
    <t>Delta Q</t>
  </si>
  <si>
    <t>Delta Vol</t>
  </si>
  <si>
    <t>Total Delta Q</t>
  </si>
  <si>
    <t>Total Delta Vol</t>
  </si>
  <si>
    <t>Total Q</t>
  </si>
  <si>
    <t>Total Volume</t>
  </si>
  <si>
    <t>Mixed</t>
  </si>
  <si>
    <t>Vacant Land</t>
  </si>
  <si>
    <t>2nd to Railroad tracks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</si>
  <si>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</si>
  <si>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</si>
  <si>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</si>
  <si>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</si>
  <si>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</si>
  <si>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</si>
  <si>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</si>
  <si>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</si>
  <si>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</si>
  <si>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</si>
  <si>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From South Broadway Drainage and Stormwater Quality Management Plan - URS, 2013 </t>
  </si>
  <si>
    <t>M</t>
  </si>
  <si>
    <t>Controlled discharge</t>
  </si>
  <si>
    <t>N</t>
  </si>
  <si>
    <t>O</t>
  </si>
  <si>
    <t>P</t>
  </si>
  <si>
    <t>2nd St.</t>
  </si>
  <si>
    <t>36" Prop</t>
  </si>
  <si>
    <t>36" exist.</t>
  </si>
  <si>
    <t>Woodward Road Existing Discharge and Runoff Volume Calculations</t>
  </si>
  <si>
    <t>30" Proposed</t>
  </si>
  <si>
    <t>30" existing</t>
  </si>
  <si>
    <t xml:space="preserve">From South Broadway Drainage and Stormwater Quality Management Plan- URS 2013 </t>
  </si>
  <si>
    <t>REQ'D POND VOLUME</t>
  </si>
  <si>
    <t>AC-FT</t>
  </si>
  <si>
    <t>AC</t>
  </si>
  <si>
    <t>FT</t>
  </si>
  <si>
    <t>RR Turnout</t>
  </si>
  <si>
    <t>2nd St ditch</t>
  </si>
  <si>
    <t>Street Capacity Analysis</t>
  </si>
  <si>
    <t>Contributing Basins</t>
  </si>
  <si>
    <t>Basin(s) Flow(cfs)</t>
  </si>
  <si>
    <t>Bypass Flow from Previous Inlet (cfs)</t>
  </si>
  <si>
    <t>Total Flow for Street Capacity Analysis (cfs)</t>
  </si>
  <si>
    <t>Street's Long. Slope (%)</t>
  </si>
  <si>
    <t>Street's Manning's    n</t>
  </si>
  <si>
    <t xml:space="preserve">Flow Spread (ft) </t>
  </si>
  <si>
    <t>Allow. Spread (ft)</t>
  </si>
  <si>
    <t>Spread Criterion Met</t>
  </si>
  <si>
    <t>Flow Depth at the Curb (ft)</t>
  </si>
  <si>
    <t>Flow Velocity at the Curb (fps)</t>
  </si>
  <si>
    <t>V * D Product &lt; 6.5</t>
  </si>
  <si>
    <t>Drop Inlet Location</t>
  </si>
  <si>
    <t>Drop Inlet Type</t>
  </si>
  <si>
    <t>Total Flow to Drop Inlet (cfs)</t>
  </si>
  <si>
    <t>Bypass from previous Inlet (cfs)</t>
  </si>
  <si>
    <t>Total Flow to Inlet (cfs)</t>
  </si>
  <si>
    <t>Intercepted Flow (cfs)</t>
  </si>
  <si>
    <t>Bypass Flow to Next Drop Inlet (cfs)</t>
  </si>
  <si>
    <t>Station</t>
  </si>
  <si>
    <t>Location and Direction</t>
  </si>
  <si>
    <t>EBL, West to East</t>
  </si>
  <si>
    <t>WBL, West to East</t>
  </si>
  <si>
    <t>Project's bypass  flow</t>
  </si>
  <si>
    <t>Flow Depth Below Top of Curb (ft)</t>
  </si>
  <si>
    <t>Woodward Road  - 100-year Flow Check (Proposed Conditions)</t>
  </si>
  <si>
    <t>FROM</t>
  </si>
  <si>
    <t>TO</t>
  </si>
  <si>
    <r>
      <t>Min S</t>
    </r>
    <r>
      <rPr>
        <b/>
        <vertAlign val="subscript"/>
        <sz val="11"/>
        <rFont val="Arial"/>
        <family val="2"/>
      </rPr>
      <t>L</t>
    </r>
    <r>
      <rPr>
        <b/>
        <sz val="11"/>
        <rFont val="Arial"/>
        <family val="2"/>
      </rPr>
      <t xml:space="preserve"> in Reach (%)</t>
    </r>
  </si>
  <si>
    <r>
      <t xml:space="preserve">S </t>
    </r>
    <r>
      <rPr>
        <b/>
        <vertAlign val="subscript"/>
        <sz val="11"/>
        <rFont val="Arial"/>
        <family val="2"/>
      </rPr>
      <t xml:space="preserve">X </t>
    </r>
    <r>
      <rPr>
        <b/>
        <sz val="11"/>
        <rFont val="Arial"/>
        <family val="2"/>
      </rPr>
      <t>(%)</t>
    </r>
  </si>
  <si>
    <t>Allow. SPREAD (ft)</t>
  </si>
  <si>
    <t>Manning's    n</t>
  </si>
  <si>
    <r>
      <t xml:space="preserve">Q </t>
    </r>
    <r>
      <rPr>
        <b/>
        <vertAlign val="subscript"/>
        <sz val="11"/>
        <rFont val="Arial"/>
        <family val="2"/>
      </rPr>
      <t xml:space="preserve">CAP  </t>
    </r>
    <r>
      <rPr>
        <b/>
        <sz val="11"/>
        <rFont val="Arial"/>
        <family val="2"/>
      </rPr>
      <t>(cfs)</t>
    </r>
  </si>
  <si>
    <t>Contributing Area</t>
  </si>
  <si>
    <t>100-year Intensity (in/hr)</t>
  </si>
  <si>
    <r>
      <t xml:space="preserve">Q </t>
    </r>
    <r>
      <rPr>
        <b/>
        <vertAlign val="subscript"/>
        <sz val="12"/>
        <rFont val="Arial MT"/>
      </rPr>
      <t xml:space="preserve">total  </t>
    </r>
    <r>
      <rPr>
        <b/>
        <sz val="12"/>
        <rFont val="Arial MT"/>
      </rPr>
      <t>(cfs)</t>
    </r>
  </si>
  <si>
    <t>Comments</t>
  </si>
  <si>
    <t>Length (ft)</t>
  </si>
  <si>
    <t>Width (ft)</t>
  </si>
  <si>
    <t>Area (ac.)</t>
  </si>
  <si>
    <t>Woodward - West</t>
  </si>
  <si>
    <t>No inlet required</t>
  </si>
  <si>
    <t xml:space="preserve">Station 106+00 - Place 1 COA Type A inlet per side of the road </t>
  </si>
  <si>
    <t xml:space="preserve">Station 102+09 - Place 1 COA Type A, double throat, inlet per side of the road in sag vertical </t>
  </si>
  <si>
    <t xml:space="preserve">Station 208+05 - Place 1 COA Type A, double throat, inlet per side of the road in sag vertical </t>
  </si>
  <si>
    <t xml:space="preserve">Station 210+00, 2nd St. - Place 1 COA Type A inlet per side of the road </t>
  </si>
  <si>
    <t>Woodward - East</t>
  </si>
  <si>
    <t xml:space="preserve">Station 114+00 - Place 1 COA Type A inlet per side of the road </t>
  </si>
  <si>
    <t xml:space="preserve">Station 117+75 - Place 1 COA Type C inlet per side of the road </t>
  </si>
  <si>
    <t xml:space="preserve">Station 121+60 - Place 1 COA Type C inlet per side of the road </t>
  </si>
  <si>
    <t xml:space="preserve">Station 124+75 - Place 1 COA Type C inlet per side of the road </t>
  </si>
  <si>
    <t xml:space="preserve">Station 126+93 - Place 1 COA Type A inlet per side of the road </t>
  </si>
  <si>
    <t>Central - East of Shopping Center, WBL</t>
  </si>
  <si>
    <t>4.4 cfs = 13ft spread</t>
  </si>
  <si>
    <t>Bypass = 1.74 cfs</t>
  </si>
  <si>
    <t>2.66 cfs</t>
  </si>
  <si>
    <t>1.04 ac = 2.66 cfs</t>
  </si>
  <si>
    <t>Sq ft</t>
  </si>
  <si>
    <t>^ /32 ft</t>
  </si>
  <si>
    <t>COA Type A Single (Double Throat)</t>
  </si>
  <si>
    <t>COA Type C Single</t>
  </si>
  <si>
    <t>COA Type C Double</t>
  </si>
  <si>
    <t>Area</t>
  </si>
  <si>
    <t>Basin</t>
  </si>
  <si>
    <t>Existing Inlet/Bypass to Frontage Road</t>
  </si>
  <si>
    <t>Bypass to Frontage Road</t>
  </si>
  <si>
    <t>Flow Depth at the Curb (in)</t>
  </si>
  <si>
    <r>
      <t>Street's Cross Slope</t>
    </r>
    <r>
      <rPr>
        <b/>
        <vertAlign val="subscript"/>
        <sz val="10"/>
        <rFont val="Arial"/>
        <family val="2"/>
      </rPr>
      <t xml:space="preserve"> </t>
    </r>
    <r>
      <rPr>
        <b/>
        <sz val="10"/>
        <rFont val="Arial"/>
        <family val="2"/>
      </rPr>
      <t>(%)</t>
    </r>
  </si>
  <si>
    <r>
      <t>V * D Product (ft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/ s)</t>
    </r>
  </si>
  <si>
    <t>Bypass to R8P</t>
  </si>
  <si>
    <t>Trunkline</t>
  </si>
  <si>
    <t>Flow to 94th Trunkline</t>
  </si>
  <si>
    <t>Flow to Library Trunkline</t>
  </si>
  <si>
    <t>New Central Trunkline</t>
  </si>
  <si>
    <t>Basin Receiving Bypass</t>
  </si>
  <si>
    <t>FID</t>
  </si>
  <si>
    <t>Shape *</t>
  </si>
  <si>
    <t>Id</t>
  </si>
  <si>
    <t>Polygon</t>
  </si>
  <si>
    <t>R10U</t>
  </si>
  <si>
    <t>R11U</t>
  </si>
  <si>
    <t>R12U</t>
  </si>
  <si>
    <t>R13U</t>
  </si>
  <si>
    <t>R14U</t>
  </si>
  <si>
    <t>R15U</t>
  </si>
  <si>
    <t>R16U</t>
  </si>
  <si>
    <t>R17U</t>
  </si>
  <si>
    <t>D1I</t>
  </si>
  <si>
    <t>D2I</t>
  </si>
  <si>
    <t>D3I</t>
  </si>
  <si>
    <t>D4I</t>
  </si>
  <si>
    <t>D5I</t>
  </si>
  <si>
    <t>D6I</t>
  </si>
  <si>
    <t>D7I</t>
  </si>
  <si>
    <t>D8I</t>
  </si>
  <si>
    <t>Central and Frontage Road Interim Discharge and Runoff Volume Calculations, 100-year Analysis</t>
  </si>
  <si>
    <t>None</t>
  </si>
  <si>
    <t>Frontage Road - East of Shopping Center, EBL</t>
  </si>
  <si>
    <t>R10P</t>
  </si>
  <si>
    <t>R11P</t>
  </si>
  <si>
    <t>R12P</t>
  </si>
  <si>
    <t>R13P</t>
  </si>
  <si>
    <t>R14P</t>
  </si>
  <si>
    <t>R15P</t>
  </si>
  <si>
    <t>R16P</t>
  </si>
  <si>
    <t>R17P</t>
  </si>
  <si>
    <t>Ditch Long. Slope (%)</t>
  </si>
  <si>
    <t>Ditch Manning's    n</t>
  </si>
  <si>
    <t>Flow Depth  (in)</t>
  </si>
  <si>
    <t>COA Type D</t>
  </si>
  <si>
    <t>D10I</t>
  </si>
  <si>
    <t>D9I</t>
  </si>
  <si>
    <t>D11I</t>
  </si>
  <si>
    <t>D12I</t>
  </si>
  <si>
    <t>Depth &lt; top of ditch</t>
  </si>
  <si>
    <t>CENTRAL BASINS</t>
  </si>
  <si>
    <t>FRONTAGE ROAD ULTIMATE CONDITION</t>
  </si>
  <si>
    <t>FRONTAGE ROAD INTERIM CONDITION</t>
  </si>
  <si>
    <t>ULTIMATE CONDITION</t>
  </si>
  <si>
    <t>CHANGE VALUES PER NEW DPM</t>
  </si>
  <si>
    <t>P4days</t>
  </si>
  <si>
    <t>P360</t>
  </si>
  <si>
    <t>P10days</t>
  </si>
  <si>
    <t>P1440</t>
  </si>
  <si>
    <t>West Central Complete Streets Proposed Discharge and Runoff Volume Calculations, 10-year Analysis</t>
  </si>
  <si>
    <t>Yes</t>
  </si>
  <si>
    <t>Figu</t>
  </si>
  <si>
    <t>Figure 10 - Frontage Road Ditch Calculations</t>
  </si>
  <si>
    <t>Figure 9 - West Central Complete Streets  - 100-year Storm Street and Inlet Analysis (Proposed Conditions)</t>
  </si>
  <si>
    <t>Figure 8 - West Central Complete Streets  - 10-year Storm Street and Inlet Analysis (Proposed Conditions)</t>
  </si>
  <si>
    <t>Note: In ultimate condition, frontage road westbound lane drop inlets will match eastbound drop inlet stationing
Basins that have flow depths deeper than 6 inches will require a deeper ditch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</si>
</sst>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###\+#0"/>
  </numFmts>
  <fonts count="30">
    <font>
      <sz val="11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99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6"/>
      <name val="Arial MT"/>
    </font>
    <font>
      <b/>
      <sz val="11"/>
      <name val="Arial"/>
      <family val="2"/>
    </font>
    <font>
      <b/>
      <vertAlign val="subscript"/>
      <sz val="11"/>
      <name val="Arial"/>
      <family val="2"/>
    </font>
    <font>
      <b/>
      <sz val="12"/>
      <name val="Arial MT"/>
    </font>
    <font>
      <b/>
      <vertAlign val="subscript"/>
      <sz val="12"/>
      <name val="Arial MT"/>
    </font>
    <font>
      <sz val="11"/>
      <color indexed="12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2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000099"/>
      <name val="Arial"/>
      <family val="2"/>
    </font>
    <font>
      <i/>
      <sz val="10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0"/>
      <color theme="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sz val="26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medium">
        <color rgb="FF3F3F3F"/>
      </top>
      <bottom style="medium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rgb="FF3F3F3F"/>
      </right>
      <top style="medium">
        <color rgb="FF3F3F3F"/>
      </top>
      <bottom style="medium">
        <color rgb="FF3F3F3F"/>
      </bottom>
      <diagonal/>
    </border>
    <border>
      <left style="double">
        <color rgb="FF3F3F3F"/>
      </left>
      <right style="medium">
        <color indexed="64"/>
      </right>
      <top style="medium">
        <color rgb="FF3F3F3F"/>
      </top>
      <bottom style="medium">
        <color rgb="FF3F3F3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rgb="FF3F3F3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7" fillId="7" borderId="9" applyNumberFormat="0" applyAlignment="0" applyProtection="0"/>
  </cellStyleXfs>
  <cellXfs count="298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2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2" fontId="0" fillId="0" borderId="0" xfId="0" applyNumberFormat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  <xf numFmtId="2" fontId="0" fillId="2" borderId="0" xfId="0" applyNumberFormat="1" applyFill="1"/>
    <xf numFmtId="0" fontId="0" fillId="2" borderId="0" xfId="0" applyFill="1"/>
    <xf numFmtId="2" fontId="5" fillId="2" borderId="1" xfId="0" applyNumberFormat="1" applyFont="1" applyFill="1" applyBorder="1" applyAlignment="1">
      <alignment horizontal="center"/>
    </xf>
    <xf numFmtId="165" fontId="0" fillId="0" borderId="0" xfId="0" applyNumberFormat="1"/>
    <xf numFmtId="164" fontId="0" fillId="0" borderId="0" xfId="0" applyNumberFormat="1"/>
    <xf numFmtId="166" fontId="13" fillId="0" borderId="4" xfId="0" applyNumberFormat="1" applyFont="1" applyFill="1" applyBorder="1" applyAlignment="1" applyProtection="1">
      <alignment horizontal="center"/>
      <protection locked="0"/>
    </xf>
    <xf numFmtId="165" fontId="13" fillId="8" borderId="1" xfId="0" applyNumberFormat="1" applyFont="1" applyFill="1" applyBorder="1" applyAlignment="1" applyProtection="1">
      <alignment horizontal="center"/>
      <protection locked="0"/>
    </xf>
    <xf numFmtId="164" fontId="13" fillId="8" borderId="4" xfId="0" applyNumberFormat="1" applyFont="1" applyFill="1" applyBorder="1" applyAlignment="1" applyProtection="1">
      <alignment horizontal="center"/>
      <protection locked="0"/>
    </xf>
    <xf numFmtId="0" fontId="13" fillId="8" borderId="1" xfId="0" applyNumberFormat="1" applyFont="1" applyFill="1" applyBorder="1" applyAlignment="1" applyProtection="1">
      <alignment horizontal="center"/>
      <protection locked="0"/>
    </xf>
    <xf numFmtId="165" fontId="14" fillId="0" borderId="4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164" fontId="13" fillId="8" borderId="1" xfId="0" applyNumberFormat="1" applyFont="1" applyFill="1" applyBorder="1" applyAlignment="1" applyProtection="1">
      <alignment horizontal="center"/>
      <protection locked="0"/>
    </xf>
    <xf numFmtId="165" fontId="13" fillId="8" borderId="4" xfId="0" applyNumberFormat="1" applyFont="1" applyFill="1" applyBorder="1" applyAlignment="1" applyProtection="1">
      <alignment horizontal="center"/>
      <protection locked="0"/>
    </xf>
    <xf numFmtId="0" fontId="13" fillId="8" borderId="4" xfId="0" applyNumberFormat="1" applyFont="1" applyFill="1" applyBorder="1" applyAlignment="1" applyProtection="1">
      <alignment horizontal="center"/>
      <protection locked="0"/>
    </xf>
    <xf numFmtId="0" fontId="0" fillId="9" borderId="4" xfId="0" applyFill="1" applyBorder="1" applyAlignment="1">
      <alignment horizontal="center"/>
    </xf>
    <xf numFmtId="166" fontId="13" fillId="0" borderId="3" xfId="0" applyNumberFormat="1" applyFont="1" applyFill="1" applyBorder="1" applyAlignment="1" applyProtection="1">
      <alignment horizontal="center"/>
      <protection locked="0"/>
    </xf>
    <xf numFmtId="165" fontId="13" fillId="8" borderId="8" xfId="0" applyNumberFormat="1" applyFont="1" applyFill="1" applyBorder="1" applyAlignment="1" applyProtection="1">
      <alignment horizontal="center"/>
      <protection locked="0"/>
    </xf>
    <xf numFmtId="164" fontId="13" fillId="8" borderId="8" xfId="0" applyNumberFormat="1" applyFont="1" applyFill="1" applyBorder="1" applyAlignment="1" applyProtection="1">
      <alignment horizontal="center"/>
      <protection locked="0"/>
    </xf>
    <xf numFmtId="164" fontId="13" fillId="8" borderId="3" xfId="0" applyNumberFormat="1" applyFont="1" applyFill="1" applyBorder="1" applyAlignment="1" applyProtection="1">
      <alignment horizontal="center"/>
      <protection locked="0"/>
    </xf>
    <xf numFmtId="0" fontId="13" fillId="8" borderId="8" xfId="0" applyNumberFormat="1" applyFont="1" applyFill="1" applyBorder="1" applyAlignment="1" applyProtection="1">
      <alignment horizontal="center"/>
      <protection locked="0"/>
    </xf>
    <xf numFmtId="165" fontId="14" fillId="0" borderId="8" xfId="0" applyNumberFormat="1" applyFont="1" applyBorder="1" applyAlignment="1">
      <alignment horizontal="center"/>
    </xf>
    <xf numFmtId="2" fontId="15" fillId="0" borderId="3" xfId="0" applyNumberFormat="1" applyFont="1" applyBorder="1" applyAlignment="1">
      <alignment horizontal="center"/>
    </xf>
    <xf numFmtId="0" fontId="0" fillId="9" borderId="8" xfId="0" applyFill="1" applyBorder="1" applyAlignment="1">
      <alignment horizontal="center"/>
    </xf>
    <xf numFmtId="166" fontId="13" fillId="0" borderId="20" xfId="0" applyNumberFormat="1" applyFont="1" applyFill="1" applyBorder="1" applyAlignment="1" applyProtection="1">
      <alignment horizontal="center"/>
      <protection locked="0"/>
    </xf>
    <xf numFmtId="166" fontId="13" fillId="0" borderId="23" xfId="0" applyNumberFormat="1" applyFont="1" applyFill="1" applyBorder="1" applyAlignment="1" applyProtection="1">
      <alignment horizontal="center"/>
      <protection locked="0"/>
    </xf>
    <xf numFmtId="166" fontId="13" fillId="0" borderId="24" xfId="0" applyNumberFormat="1" applyFont="1" applyFill="1" applyBorder="1" applyAlignment="1" applyProtection="1">
      <alignment horizontal="center"/>
      <protection locked="0"/>
    </xf>
    <xf numFmtId="166" fontId="13" fillId="0" borderId="25" xfId="0" applyNumberFormat="1" applyFont="1" applyFill="1" applyBorder="1" applyAlignment="1" applyProtection="1">
      <alignment horizontal="center"/>
      <protection locked="0"/>
    </xf>
    <xf numFmtId="165" fontId="13" fillId="8" borderId="26" xfId="0" applyNumberFormat="1" applyFont="1" applyFill="1" applyBorder="1" applyAlignment="1" applyProtection="1">
      <alignment horizontal="center"/>
      <protection locked="0"/>
    </xf>
    <xf numFmtId="164" fontId="13" fillId="8" borderId="26" xfId="0" applyNumberFormat="1" applyFont="1" applyFill="1" applyBorder="1" applyAlignment="1" applyProtection="1">
      <alignment horizontal="center"/>
      <protection locked="0"/>
    </xf>
    <xf numFmtId="164" fontId="13" fillId="8" borderId="25" xfId="0" applyNumberFormat="1" applyFont="1" applyFill="1" applyBorder="1" applyAlignment="1" applyProtection="1">
      <alignment horizontal="center"/>
      <protection locked="0"/>
    </xf>
    <xf numFmtId="0" fontId="13" fillId="8" borderId="26" xfId="0" applyNumberFormat="1" applyFont="1" applyFill="1" applyBorder="1" applyAlignment="1" applyProtection="1">
      <alignment horizontal="center"/>
      <protection locked="0"/>
    </xf>
    <xf numFmtId="165" fontId="14" fillId="0" borderId="26" xfId="0" applyNumberFormat="1" applyFont="1" applyBorder="1" applyAlignment="1">
      <alignment horizontal="center"/>
    </xf>
    <xf numFmtId="2" fontId="15" fillId="0" borderId="25" xfId="0" applyNumberFormat="1" applyFont="1" applyBorder="1" applyAlignment="1">
      <alignment horizontal="center"/>
    </xf>
    <xf numFmtId="165" fontId="14" fillId="0" borderId="25" xfId="0" applyNumberFormat="1" applyFont="1" applyBorder="1" applyAlignment="1">
      <alignment horizontal="center"/>
    </xf>
    <xf numFmtId="0" fontId="0" fillId="9" borderId="26" xfId="0" applyFill="1" applyBorder="1" applyAlignment="1">
      <alignment horizontal="center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27" xfId="0" applyBorder="1" applyAlignment="1">
      <alignment wrapText="1"/>
    </xf>
    <xf numFmtId="2" fontId="9" fillId="0" borderId="3" xfId="0" applyNumberFormat="1" applyFont="1" applyFill="1" applyBorder="1" applyAlignment="1">
      <alignment horizontal="center" wrapText="1"/>
    </xf>
    <xf numFmtId="0" fontId="0" fillId="0" borderId="0" xfId="0" applyAlignment="1">
      <alignment horizontal="left"/>
    </xf>
    <xf numFmtId="164" fontId="0" fillId="0" borderId="1" xfId="0" applyNumberFormat="1" applyBorder="1" applyAlignment="1">
      <alignment horizontal="center"/>
    </xf>
    <xf numFmtId="165" fontId="14" fillId="2" borderId="4" xfId="0" applyNumberFormat="1" applyFont="1" applyFill="1" applyBorder="1" applyAlignment="1">
      <alignment horizontal="center"/>
    </xf>
    <xf numFmtId="165" fontId="14" fillId="2" borderId="3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wrapText="1"/>
    </xf>
    <xf numFmtId="2" fontId="5" fillId="0" borderId="0" xfId="0" applyNumberFormat="1" applyFont="1" applyFill="1" applyBorder="1" applyAlignment="1">
      <alignment horizontal="center"/>
    </xf>
    <xf numFmtId="2" fontId="0" fillId="10" borderId="0" xfId="0" applyNumberFormat="1" applyFill="1"/>
    <xf numFmtId="0" fontId="1" fillId="0" borderId="0" xfId="0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wrapText="1"/>
    </xf>
    <xf numFmtId="0" fontId="17" fillId="0" borderId="0" xfId="0" applyFont="1"/>
    <xf numFmtId="0" fontId="19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2" fontId="17" fillId="0" borderId="1" xfId="0" applyNumberFormat="1" applyFont="1" applyFill="1" applyBorder="1" applyAlignment="1">
      <alignment horizontal="center"/>
    </xf>
    <xf numFmtId="164" fontId="17" fillId="0" borderId="1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2" fontId="17" fillId="4" borderId="1" xfId="0" applyNumberFormat="1" applyFont="1" applyFill="1" applyBorder="1" applyAlignment="1">
      <alignment horizontal="center"/>
    </xf>
    <xf numFmtId="165" fontId="17" fillId="0" borderId="1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17" fillId="0" borderId="0" xfId="0" applyNumberFormat="1" applyFont="1"/>
    <xf numFmtId="2" fontId="17" fillId="0" borderId="0" xfId="0" applyNumberFormat="1" applyFont="1"/>
    <xf numFmtId="2" fontId="17" fillId="0" borderId="0" xfId="0" applyNumberFormat="1" applyFont="1" applyAlignment="1">
      <alignment horizontal="center"/>
    </xf>
    <xf numFmtId="0" fontId="21" fillId="0" borderId="0" xfId="0" applyFont="1"/>
    <xf numFmtId="2" fontId="17" fillId="11" borderId="1" xfId="0" applyNumberFormat="1" applyFont="1" applyFill="1" applyBorder="1" applyAlignment="1">
      <alignment horizontal="center"/>
    </xf>
    <xf numFmtId="2" fontId="17" fillId="0" borderId="0" xfId="0" applyNumberFormat="1" applyFont="1" applyFill="1" applyBorder="1" applyAlignment="1">
      <alignment horizontal="center"/>
    </xf>
    <xf numFmtId="2" fontId="17" fillId="0" borderId="0" xfId="0" applyNumberFormat="1" applyFont="1" applyFill="1"/>
    <xf numFmtId="164" fontId="17" fillId="0" borderId="0" xfId="0" applyNumberFormat="1" applyFont="1"/>
    <xf numFmtId="0" fontId="23" fillId="0" borderId="0" xfId="0" applyFont="1" applyBorder="1" applyAlignment="1">
      <alignment horizontal="center" wrapText="1"/>
    </xf>
    <xf numFmtId="2" fontId="23" fillId="0" borderId="29" xfId="0" applyNumberFormat="1" applyFont="1" applyFill="1" applyBorder="1" applyAlignment="1">
      <alignment horizontal="center" wrapText="1"/>
    </xf>
    <xf numFmtId="166" fontId="27" fillId="0" borderId="29" xfId="0" applyNumberFormat="1" applyFont="1" applyFill="1" applyBorder="1" applyAlignment="1" applyProtection="1">
      <alignment horizontal="center" vertical="center"/>
      <protection locked="0"/>
    </xf>
    <xf numFmtId="166" fontId="27" fillId="0" borderId="1" xfId="0" applyNumberFormat="1" applyFont="1" applyFill="1" applyBorder="1" applyAlignment="1" applyProtection="1">
      <alignment horizontal="center" vertical="center"/>
      <protection locked="0"/>
    </xf>
    <xf numFmtId="2" fontId="28" fillId="0" borderId="1" xfId="0" applyNumberFormat="1" applyFont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 applyProtection="1">
      <alignment horizontal="center" vertical="center"/>
      <protection locked="0"/>
    </xf>
    <xf numFmtId="164" fontId="27" fillId="8" borderId="1" xfId="0" applyNumberFormat="1" applyFont="1" applyFill="1" applyBorder="1" applyAlignment="1" applyProtection="1">
      <alignment horizontal="center" vertical="center"/>
      <protection locked="0"/>
    </xf>
    <xf numFmtId="0" fontId="27" fillId="8" borderId="1" xfId="0" applyNumberFormat="1" applyFont="1" applyFill="1" applyBorder="1" applyAlignment="1" applyProtection="1">
      <alignment horizontal="center" vertical="center"/>
      <protection locked="0"/>
    </xf>
    <xf numFmtId="164" fontId="27" fillId="8" borderId="1" xfId="0" applyNumberFormat="1" applyFont="1" applyFill="1" applyBorder="1" applyAlignment="1" applyProtection="1">
      <alignment horizontal="center" vertical="center"/>
    </xf>
    <xf numFmtId="0" fontId="17" fillId="9" borderId="1" xfId="0" applyFont="1" applyFill="1" applyBorder="1" applyAlignment="1">
      <alignment horizontal="center" vertical="center"/>
    </xf>
    <xf numFmtId="2" fontId="27" fillId="8" borderId="1" xfId="0" applyNumberFormat="1" applyFont="1" applyFill="1" applyBorder="1" applyAlignment="1" applyProtection="1">
      <alignment horizontal="center" vertical="center"/>
      <protection locked="0"/>
    </xf>
    <xf numFmtId="2" fontId="18" fillId="0" borderId="0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17" fillId="0" borderId="0" xfId="0" applyFont="1" applyFill="1"/>
    <xf numFmtId="2" fontId="18" fillId="8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>
      <alignment horizontal="center"/>
    </xf>
    <xf numFmtId="2" fontId="23" fillId="0" borderId="31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2" fontId="23" fillId="0" borderId="32" xfId="0" applyNumberFormat="1" applyFont="1" applyFill="1" applyBorder="1" applyAlignment="1">
      <alignment horizontal="center" vertical="center" wrapText="1"/>
    </xf>
    <xf numFmtId="0" fontId="23" fillId="0" borderId="26" xfId="0" applyFont="1" applyBorder="1" applyAlignment="1">
      <alignment horizontal="center" vertical="center" wrapText="1"/>
    </xf>
    <xf numFmtId="164" fontId="23" fillId="0" borderId="26" xfId="0" applyNumberFormat="1" applyFont="1" applyBorder="1" applyAlignment="1">
      <alignment horizontal="center" vertical="center" wrapText="1"/>
    </xf>
    <xf numFmtId="0" fontId="23" fillId="0" borderId="26" xfId="0" applyFont="1" applyFill="1" applyBorder="1" applyAlignment="1">
      <alignment horizontal="center" vertical="center" wrapText="1"/>
    </xf>
    <xf numFmtId="166" fontId="27" fillId="0" borderId="31" xfId="0" applyNumberFormat="1" applyFont="1" applyFill="1" applyBorder="1" applyAlignment="1" applyProtection="1">
      <alignment horizontal="center" vertical="center"/>
      <protection locked="0"/>
    </xf>
    <xf numFmtId="166" fontId="27" fillId="0" borderId="2" xfId="0" applyNumberFormat="1" applyFont="1" applyFill="1" applyBorder="1" applyAlignment="1" applyProtection="1">
      <alignment horizontal="center" vertical="center"/>
      <protection locked="0"/>
    </xf>
    <xf numFmtId="2" fontId="28" fillId="0" borderId="2" xfId="0" applyNumberFormat="1" applyFont="1" applyBorder="1" applyAlignment="1">
      <alignment horizontal="center" vertical="center"/>
    </xf>
    <xf numFmtId="165" fontId="27" fillId="8" borderId="2" xfId="0" applyNumberFormat="1" applyFont="1" applyFill="1" applyBorder="1" applyAlignment="1" applyProtection="1">
      <alignment horizontal="center" vertical="center"/>
      <protection locked="0"/>
    </xf>
    <xf numFmtId="164" fontId="27" fillId="8" borderId="2" xfId="0" applyNumberFormat="1" applyFont="1" applyFill="1" applyBorder="1" applyAlignment="1" applyProtection="1">
      <alignment horizontal="center" vertical="center"/>
      <protection locked="0"/>
    </xf>
    <xf numFmtId="0" fontId="27" fillId="8" borderId="2" xfId="0" applyNumberFormat="1" applyFont="1" applyFill="1" applyBorder="1" applyAlignment="1" applyProtection="1">
      <alignment horizontal="center" vertical="center"/>
      <protection locked="0"/>
    </xf>
    <xf numFmtId="0" fontId="17" fillId="9" borderId="2" xfId="0" applyFont="1" applyFill="1" applyBorder="1" applyAlignment="1">
      <alignment horizontal="center" vertical="center"/>
    </xf>
    <xf numFmtId="2" fontId="18" fillId="8" borderId="2" xfId="0" applyNumberFormat="1" applyFont="1" applyFill="1" applyBorder="1" applyAlignment="1" applyProtection="1">
      <alignment horizontal="center" vertical="center"/>
      <protection locked="0"/>
    </xf>
    <xf numFmtId="2" fontId="27" fillId="8" borderId="2" xfId="0" applyNumberFormat="1" applyFont="1" applyFill="1" applyBorder="1" applyAlignment="1" applyProtection="1">
      <alignment horizontal="center" vertical="center"/>
      <protection locked="0"/>
    </xf>
    <xf numFmtId="166" fontId="27" fillId="0" borderId="26" xfId="0" applyNumberFormat="1" applyFont="1" applyFill="1" applyBorder="1" applyAlignment="1" applyProtection="1">
      <alignment horizontal="center" vertical="center"/>
      <protection locked="0"/>
    </xf>
    <xf numFmtId="2" fontId="28" fillId="0" borderId="26" xfId="0" applyNumberFormat="1" applyFont="1" applyBorder="1" applyAlignment="1">
      <alignment horizontal="center" vertical="center"/>
    </xf>
    <xf numFmtId="164" fontId="27" fillId="8" borderId="26" xfId="0" applyNumberFormat="1" applyFont="1" applyFill="1" applyBorder="1" applyAlignment="1" applyProtection="1">
      <alignment horizontal="center" vertical="center"/>
      <protection locked="0"/>
    </xf>
    <xf numFmtId="0" fontId="27" fillId="8" borderId="26" xfId="0" applyNumberFormat="1" applyFont="1" applyFill="1" applyBorder="1" applyAlignment="1" applyProtection="1">
      <alignment horizontal="center" vertical="center"/>
      <protection locked="0"/>
    </xf>
    <xf numFmtId="0" fontId="17" fillId="9" borderId="26" xfId="0" applyFont="1" applyFill="1" applyBorder="1" applyAlignment="1">
      <alignment horizontal="center" vertical="center"/>
    </xf>
    <xf numFmtId="2" fontId="18" fillId="8" borderId="26" xfId="0" applyNumberFormat="1" applyFont="1" applyFill="1" applyBorder="1" applyAlignment="1" applyProtection="1">
      <alignment horizontal="center" vertical="center"/>
      <protection locked="0"/>
    </xf>
    <xf numFmtId="2" fontId="27" fillId="8" borderId="26" xfId="0" applyNumberFormat="1" applyFont="1" applyFill="1" applyBorder="1" applyAlignment="1" applyProtection="1">
      <alignment horizontal="center" vertical="center"/>
      <protection locked="0"/>
    </xf>
    <xf numFmtId="2" fontId="28" fillId="0" borderId="2" xfId="0" applyNumberFormat="1" applyFont="1" applyFill="1" applyBorder="1" applyAlignment="1">
      <alignment horizontal="center" vertical="center" wrapText="1"/>
    </xf>
    <xf numFmtId="2" fontId="18" fillId="0" borderId="2" xfId="0" applyNumberFormat="1" applyFont="1" applyBorder="1" applyAlignment="1">
      <alignment horizontal="center" vertical="center"/>
    </xf>
    <xf numFmtId="2" fontId="18" fillId="0" borderId="30" xfId="0" applyNumberFormat="1" applyFont="1" applyBorder="1" applyAlignment="1">
      <alignment horizontal="center" vertical="center"/>
    </xf>
    <xf numFmtId="2" fontId="28" fillId="0" borderId="1" xfId="0" applyNumberFormat="1" applyFont="1" applyFill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/>
    </xf>
    <xf numFmtId="2" fontId="18" fillId="0" borderId="22" xfId="0" applyNumberFormat="1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/>
    </xf>
    <xf numFmtId="2" fontId="28" fillId="0" borderId="26" xfId="0" applyNumberFormat="1" applyFont="1" applyFill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/>
    </xf>
    <xf numFmtId="2" fontId="18" fillId="0" borderId="27" xfId="0" applyNumberFormat="1" applyFont="1" applyBorder="1" applyAlignment="1">
      <alignment horizontal="center" vertical="center"/>
    </xf>
    <xf numFmtId="165" fontId="27" fillId="8" borderId="26" xfId="0" applyNumberFormat="1" applyFont="1" applyFill="1" applyBorder="1" applyAlignment="1" applyProtection="1">
      <alignment horizontal="center" vertical="center"/>
      <protection locked="0"/>
    </xf>
    <xf numFmtId="2" fontId="28" fillId="0" borderId="2" xfId="0" applyNumberFormat="1" applyFont="1" applyFill="1" applyBorder="1" applyAlignment="1">
      <alignment horizontal="center" vertical="center"/>
    </xf>
    <xf numFmtId="2" fontId="28" fillId="0" borderId="26" xfId="0" applyNumberFormat="1" applyFont="1" applyFill="1" applyBorder="1" applyAlignment="1">
      <alignment horizontal="center" vertical="center"/>
    </xf>
    <xf numFmtId="165" fontId="27" fillId="0" borderId="2" xfId="0" applyNumberFormat="1" applyFont="1" applyFill="1" applyBorder="1" applyAlignment="1" applyProtection="1">
      <alignment horizontal="center" vertical="center"/>
      <protection locked="0"/>
    </xf>
    <xf numFmtId="0" fontId="27" fillId="0" borderId="1" xfId="0" applyNumberFormat="1" applyFont="1" applyFill="1" applyBorder="1" applyAlignment="1" applyProtection="1">
      <alignment horizontal="center" vertical="center"/>
      <protection locked="0"/>
    </xf>
    <xf numFmtId="164" fontId="27" fillId="0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/>
    </xf>
    <xf numFmtId="2" fontId="18" fillId="0" borderId="1" xfId="0" applyNumberFormat="1" applyFont="1" applyFill="1" applyBorder="1" applyAlignment="1" applyProtection="1">
      <alignment horizontal="center" vertical="center"/>
      <protection locked="0"/>
    </xf>
    <xf numFmtId="2" fontId="27" fillId="0" borderId="1" xfId="0" applyNumberFormat="1" applyFont="1" applyFill="1" applyBorder="1" applyAlignment="1" applyProtection="1">
      <alignment horizontal="center" vertical="center"/>
      <protection locked="0"/>
    </xf>
    <xf numFmtId="2" fontId="18" fillId="0" borderId="1" xfId="0" applyNumberFormat="1" applyFont="1" applyFill="1" applyBorder="1" applyAlignment="1">
      <alignment horizontal="center" vertical="center"/>
    </xf>
    <xf numFmtId="2" fontId="18" fillId="0" borderId="22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2" fontId="18" fillId="0" borderId="0" xfId="0" applyNumberFormat="1" applyFont="1" applyFill="1" applyBorder="1" applyAlignment="1">
      <alignment vertical="center"/>
    </xf>
    <xf numFmtId="164" fontId="17" fillId="0" borderId="0" xfId="0" applyNumberFormat="1" applyFont="1" applyFill="1"/>
    <xf numFmtId="2" fontId="17" fillId="0" borderId="26" xfId="0" applyNumberFormat="1" applyFont="1" applyFill="1" applyBorder="1" applyAlignment="1">
      <alignment horizontal="center"/>
    </xf>
    <xf numFmtId="0" fontId="27" fillId="0" borderId="26" xfId="0" applyNumberFormat="1" applyFont="1" applyFill="1" applyBorder="1" applyAlignment="1" applyProtection="1">
      <alignment horizontal="center" vertical="center"/>
      <protection locked="0"/>
    </xf>
    <xf numFmtId="164" fontId="27" fillId="0" borderId="26" xfId="0" applyNumberFormat="1" applyFont="1" applyFill="1" applyBorder="1" applyAlignment="1" applyProtection="1">
      <alignment horizontal="center" vertical="center"/>
      <protection locked="0"/>
    </xf>
    <xf numFmtId="0" fontId="17" fillId="0" borderId="26" xfId="0" applyFont="1" applyFill="1" applyBorder="1" applyAlignment="1">
      <alignment horizontal="center" vertical="center"/>
    </xf>
    <xf numFmtId="2" fontId="18" fillId="0" borderId="26" xfId="0" applyNumberFormat="1" applyFont="1" applyFill="1" applyBorder="1" applyAlignment="1" applyProtection="1">
      <alignment horizontal="center" vertical="center"/>
      <protection locked="0"/>
    </xf>
    <xf numFmtId="2" fontId="27" fillId="0" borderId="26" xfId="0" applyNumberFormat="1" applyFont="1" applyFill="1" applyBorder="1" applyAlignment="1" applyProtection="1">
      <alignment horizontal="center" vertical="center"/>
      <protection locked="0"/>
    </xf>
    <xf numFmtId="2" fontId="18" fillId="0" borderId="26" xfId="0" applyNumberFormat="1" applyFont="1" applyFill="1" applyBorder="1" applyAlignment="1">
      <alignment horizontal="center" vertical="center"/>
    </xf>
    <xf numFmtId="2" fontId="18" fillId="0" borderId="27" xfId="0" applyNumberFormat="1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0" fontId="19" fillId="0" borderId="0" xfId="0" applyFont="1" applyAlignment="1">
      <alignment horizontal="center" vertical="center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29" fillId="0" borderId="0" xfId="0" applyFont="1"/>
    <xf numFmtId="0" fontId="17" fillId="11" borderId="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1" xfId="0" applyBorder="1" applyAlignment="1">
      <alignment horizontal="center" wrapText="1"/>
    </xf>
    <xf numFmtId="166" fontId="27" fillId="0" borderId="13" xfId="0" applyNumberFormat="1" applyFont="1" applyFill="1" applyBorder="1" applyAlignment="1" applyProtection="1">
      <alignment horizontal="center" vertical="center"/>
      <protection locked="0"/>
    </xf>
    <xf numFmtId="166" fontId="27" fillId="0" borderId="5" xfId="0" applyNumberFormat="1" applyFont="1" applyFill="1" applyBorder="1" applyAlignment="1" applyProtection="1">
      <alignment horizontal="center" vertical="center"/>
      <protection locked="0"/>
    </xf>
    <xf numFmtId="166" fontId="27" fillId="0" borderId="38" xfId="0" applyNumberFormat="1" applyFont="1" applyFill="1" applyBorder="1" applyAlignment="1" applyProtection="1">
      <alignment horizontal="center" vertical="center"/>
      <protection locked="0"/>
    </xf>
    <xf numFmtId="166" fontId="27" fillId="0" borderId="32" xfId="0" applyNumberFormat="1" applyFont="1" applyFill="1" applyBorder="1" applyAlignment="1" applyProtection="1">
      <alignment horizontal="center" vertical="center"/>
      <protection locked="0"/>
    </xf>
    <xf numFmtId="164" fontId="27" fillId="8" borderId="2" xfId="0" applyNumberFormat="1" applyFont="1" applyFill="1" applyBorder="1" applyAlignment="1" applyProtection="1">
      <alignment horizontal="center" vertical="center"/>
    </xf>
    <xf numFmtId="164" fontId="27" fillId="8" borderId="26" xfId="0" applyNumberFormat="1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19" fillId="0" borderId="0" xfId="0" applyFont="1" applyAlignment="1">
      <alignment horizontal="center" vertical="center"/>
    </xf>
    <xf numFmtId="2" fontId="23" fillId="0" borderId="1" xfId="0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/>
    </xf>
    <xf numFmtId="164" fontId="18" fillId="5" borderId="26" xfId="0" applyNumberFormat="1" applyFont="1" applyFill="1" applyBorder="1" applyAlignment="1" applyProtection="1">
      <alignment horizontal="center" vertical="center"/>
    </xf>
    <xf numFmtId="165" fontId="27" fillId="0" borderId="1" xfId="0" applyNumberFormat="1" applyFont="1" applyFill="1" applyBorder="1" applyAlignment="1" applyProtection="1">
      <alignment horizontal="center" vertical="center"/>
      <protection locked="0"/>
    </xf>
    <xf numFmtId="165" fontId="27" fillId="0" borderId="26" xfId="0" applyNumberFormat="1" applyFont="1" applyFill="1" applyBorder="1" applyAlignment="1" applyProtection="1">
      <alignment horizontal="center" vertical="center"/>
      <protection locked="0"/>
    </xf>
    <xf numFmtId="2" fontId="23" fillId="0" borderId="3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/>
    </xf>
    <xf numFmtId="2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2" fontId="17" fillId="0" borderId="0" xfId="0" applyNumberFormat="1" applyFont="1" applyFill="1" applyAlignment="1">
      <alignment horizontal="center"/>
    </xf>
    <xf numFmtId="165" fontId="17" fillId="0" borderId="0" xfId="0" applyNumberFormat="1" applyFont="1" applyAlignment="1">
      <alignment horizontal="center"/>
    </xf>
    <xf numFmtId="164" fontId="17" fillId="0" borderId="0" xfId="0" applyNumberFormat="1" applyFont="1" applyAlignment="1">
      <alignment horizontal="center"/>
    </xf>
    <xf numFmtId="2" fontId="26" fillId="0" borderId="0" xfId="1" applyNumberFormat="1" applyFont="1" applyFill="1" applyBorder="1" applyAlignment="1">
      <alignment horizontal="center"/>
    </xf>
    <xf numFmtId="2" fontId="18" fillId="0" borderId="0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2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64" fontId="6" fillId="0" borderId="6" xfId="0" applyNumberFormat="1" applyFont="1" applyFill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2" xfId="0" applyFont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165" fontId="23" fillId="0" borderId="2" xfId="0" applyNumberFormat="1" applyFont="1" applyBorder="1" applyAlignment="1">
      <alignment horizontal="center" wrapText="1"/>
    </xf>
    <xf numFmtId="165" fontId="23" fillId="0" borderId="1" xfId="0" applyNumberFormat="1" applyFont="1" applyBorder="1" applyAlignment="1">
      <alignment horizontal="center" wrapText="1"/>
    </xf>
    <xf numFmtId="2" fontId="23" fillId="0" borderId="2" xfId="0" applyNumberFormat="1" applyFont="1" applyFill="1" applyBorder="1" applyAlignment="1">
      <alignment horizontal="center" wrapText="1"/>
    </xf>
    <xf numFmtId="2" fontId="23" fillId="0" borderId="1" xfId="0" applyNumberFormat="1" applyFont="1" applyFill="1" applyBorder="1" applyAlignment="1">
      <alignment horizontal="center" wrapText="1"/>
    </xf>
    <xf numFmtId="164" fontId="23" fillId="0" borderId="2" xfId="0" applyNumberFormat="1" applyFont="1" applyBorder="1" applyAlignment="1">
      <alignment horizontal="center" wrapText="1"/>
    </xf>
    <xf numFmtId="164" fontId="23" fillId="0" borderId="1" xfId="0" applyNumberFormat="1" applyFont="1" applyBorder="1" applyAlignment="1">
      <alignment horizontal="center" wrapText="1"/>
    </xf>
    <xf numFmtId="2" fontId="23" fillId="0" borderId="31" xfId="0" applyNumberFormat="1" applyFont="1" applyFill="1" applyBorder="1" applyAlignment="1">
      <alignment horizontal="center" wrapText="1"/>
    </xf>
    <xf numFmtId="0" fontId="23" fillId="0" borderId="30" xfId="0" applyFont="1" applyBorder="1" applyAlignment="1">
      <alignment horizontal="center" wrapText="1"/>
    </xf>
    <xf numFmtId="0" fontId="23" fillId="0" borderId="22" xfId="0" applyFont="1" applyBorder="1" applyAlignment="1">
      <alignment horizontal="center" wrapText="1"/>
    </xf>
    <xf numFmtId="2" fontId="26" fillId="7" borderId="39" xfId="1" applyNumberFormat="1" applyFont="1" applyBorder="1" applyAlignment="1">
      <alignment horizontal="center"/>
    </xf>
    <xf numFmtId="2" fontId="26" fillId="7" borderId="8" xfId="1" applyNumberFormat="1" applyFont="1" applyBorder="1" applyAlignment="1">
      <alignment horizontal="center"/>
    </xf>
    <xf numFmtId="2" fontId="26" fillId="7" borderId="17" xfId="1" applyNumberFormat="1" applyFont="1" applyBorder="1" applyAlignment="1">
      <alignment horizontal="center"/>
    </xf>
    <xf numFmtId="2" fontId="26" fillId="7" borderId="11" xfId="1" applyNumberFormat="1" applyFont="1" applyBorder="1" applyAlignment="1">
      <alignment horizontal="left"/>
    </xf>
    <xf numFmtId="2" fontId="26" fillId="7" borderId="36" xfId="1" applyNumberFormat="1" applyFont="1" applyBorder="1" applyAlignment="1">
      <alignment horizontal="left"/>
    </xf>
    <xf numFmtId="2" fontId="26" fillId="7" borderId="33" xfId="1" applyNumberFormat="1" applyFont="1" applyBorder="1" applyAlignment="1">
      <alignment horizontal="left"/>
    </xf>
    <xf numFmtId="2" fontId="23" fillId="0" borderId="12" xfId="0" applyNumberFormat="1" applyFont="1" applyFill="1" applyBorder="1" applyAlignment="1">
      <alignment horizontal="center" vertical="center" wrapText="1"/>
    </xf>
    <xf numFmtId="2" fontId="23" fillId="0" borderId="25" xfId="0" applyNumberFormat="1" applyFont="1" applyFill="1" applyBorder="1" applyAlignment="1">
      <alignment horizontal="center" vertical="center" wrapText="1"/>
    </xf>
    <xf numFmtId="2" fontId="26" fillId="7" borderId="16" xfId="1" applyNumberFormat="1" applyFont="1" applyBorder="1" applyAlignment="1">
      <alignment horizontal="left"/>
    </xf>
    <xf numFmtId="2" fontId="26" fillId="7" borderId="0" xfId="1" applyNumberFormat="1" applyFont="1" applyBorder="1" applyAlignment="1">
      <alignment horizontal="left"/>
    </xf>
    <xf numFmtId="2" fontId="26" fillId="7" borderId="40" xfId="1" applyNumberFormat="1" applyFont="1" applyBorder="1" applyAlignment="1">
      <alignment horizontal="left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5" xfId="0" applyFont="1" applyFill="1" applyBorder="1" applyAlignment="1">
      <alignment horizontal="center" vertical="center" wrapText="1"/>
    </xf>
    <xf numFmtId="165" fontId="23" fillId="0" borderId="12" xfId="0" applyNumberFormat="1" applyFont="1" applyBorder="1" applyAlignment="1">
      <alignment horizontal="center" vertical="center" wrapText="1"/>
    </xf>
    <xf numFmtId="165" fontId="23" fillId="0" borderId="25" xfId="0" applyNumberFormat="1" applyFont="1" applyBorder="1" applyAlignment="1">
      <alignment horizontal="center" vertical="center" wrapText="1"/>
    </xf>
    <xf numFmtId="164" fontId="23" fillId="0" borderId="12" xfId="0" applyNumberFormat="1" applyFont="1" applyBorder="1" applyAlignment="1">
      <alignment horizontal="center" vertical="center" wrapText="1"/>
    </xf>
    <xf numFmtId="164" fontId="23" fillId="0" borderId="25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164" fontId="23" fillId="0" borderId="34" xfId="0" applyNumberFormat="1" applyFont="1" applyBorder="1" applyAlignment="1">
      <alignment horizontal="center" vertical="center" wrapText="1"/>
    </xf>
    <xf numFmtId="164" fontId="23" fillId="0" borderId="35" xfId="0" applyNumberFormat="1" applyFont="1" applyBorder="1" applyAlignment="1">
      <alignment horizontal="center" vertical="center" wrapText="1"/>
    </xf>
    <xf numFmtId="0" fontId="19" fillId="0" borderId="30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2" fontId="23" fillId="0" borderId="30" xfId="0" applyNumberFormat="1" applyFont="1" applyFill="1" applyBorder="1" applyAlignment="1">
      <alignment horizontal="center" vertical="center" wrapText="1"/>
    </xf>
    <xf numFmtId="2" fontId="23" fillId="0" borderId="17" xfId="0" applyNumberFormat="1" applyFont="1" applyFill="1" applyBorder="1" applyAlignment="1">
      <alignment horizontal="center" vertical="center" wrapText="1"/>
    </xf>
    <xf numFmtId="2" fontId="23" fillId="0" borderId="2" xfId="0" applyNumberFormat="1" applyFont="1" applyFill="1" applyBorder="1" applyAlignment="1">
      <alignment horizontal="center" vertical="center" wrapText="1"/>
    </xf>
    <xf numFmtId="2" fontId="23" fillId="0" borderId="8" xfId="0" applyNumberFormat="1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2" fontId="9" fillId="0" borderId="11" xfId="0" applyNumberFormat="1" applyFont="1" applyFill="1" applyBorder="1" applyAlignment="1">
      <alignment horizontal="center"/>
    </xf>
    <xf numFmtId="2" fontId="9" fillId="0" borderId="16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center" wrapText="1"/>
    </xf>
    <xf numFmtId="0" fontId="9" fillId="0" borderId="28" xfId="0" applyFont="1" applyBorder="1" applyAlignment="1">
      <alignment horizontal="center" wrapText="1"/>
    </xf>
    <xf numFmtId="0" fontId="9" fillId="0" borderId="1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164" fontId="9" fillId="0" borderId="12" xfId="0" applyNumberFormat="1" applyFont="1" applyBorder="1" applyAlignment="1">
      <alignment horizontal="center" wrapText="1"/>
    </xf>
    <xf numFmtId="164" fontId="9" fillId="0" borderId="3" xfId="0" applyNumberFormat="1" applyFont="1" applyBorder="1" applyAlignment="1">
      <alignment horizontal="center" wrapText="1"/>
    </xf>
    <xf numFmtId="165" fontId="9" fillId="0" borderId="12" xfId="0" applyNumberFormat="1" applyFont="1" applyBorder="1" applyAlignment="1">
      <alignment horizontal="center" wrapText="1"/>
    </xf>
    <xf numFmtId="165" fontId="9" fillId="0" borderId="28" xfId="0" applyNumberFormat="1" applyFont="1" applyBorder="1" applyAlignment="1">
      <alignment horizontal="center" wrapText="1"/>
    </xf>
    <xf numFmtId="165" fontId="9" fillId="0" borderId="13" xfId="0" applyNumberFormat="1" applyFont="1" applyFill="1" applyBorder="1" applyAlignment="1">
      <alignment horizontal="center" wrapText="1"/>
    </xf>
    <xf numFmtId="165" fontId="9" fillId="0" borderId="14" xfId="0" applyNumberFormat="1" applyFont="1" applyFill="1" applyBorder="1" applyAlignment="1">
      <alignment horizontal="center" wrapText="1"/>
    </xf>
    <xf numFmtId="165" fontId="9" fillId="0" borderId="15" xfId="0" applyNumberFormat="1" applyFont="1" applyFill="1" applyBorder="1" applyAlignment="1">
      <alignment horizontal="center" wrapText="1"/>
    </xf>
    <xf numFmtId="165" fontId="9" fillId="0" borderId="3" xfId="0" applyNumberFormat="1" applyFont="1" applyBorder="1" applyAlignment="1">
      <alignment horizontal="center" wrapText="1"/>
    </xf>
    <xf numFmtId="2" fontId="7" fillId="7" borderId="18" xfId="1" applyNumberFormat="1" applyBorder="1" applyAlignment="1">
      <alignment horizontal="left"/>
    </xf>
    <xf numFmtId="2" fontId="7" fillId="7" borderId="10" xfId="1" applyNumberFormat="1" applyBorder="1" applyAlignment="1">
      <alignment horizontal="left"/>
    </xf>
    <xf numFmtId="2" fontId="7" fillId="7" borderId="19" xfId="1" applyNumberFormat="1" applyBorder="1" applyAlignment="1">
      <alignment horizontal="left"/>
    </xf>
    <xf numFmtId="164" fontId="11" fillId="0" borderId="12" xfId="0" applyNumberFormat="1" applyFont="1" applyBorder="1" applyAlignment="1">
      <alignment horizontal="center" wrapText="1"/>
    </xf>
    <xf numFmtId="164" fontId="11" fillId="0" borderId="28" xfId="0" applyNumberFormat="1" applyFont="1" applyBorder="1" applyAlignment="1">
      <alignment horizontal="center" wrapText="1"/>
    </xf>
    <xf numFmtId="0" fontId="11" fillId="0" borderId="2" xfId="0" applyFont="1" applyFill="1" applyBorder="1" applyAlignment="1">
      <alignment horizontal="center" wrapText="1"/>
    </xf>
    <xf numFmtId="0" fontId="11" fillId="0" borderId="8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2">
    <cellStyle name="Check Cell" xfId="1" builtinId="23"/>
    <cellStyle name="Normal" xfId="0" builtinId="0"/>
  </cellStyles>
  <dxfs count="42"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7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6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244928</xdr:colOff>
      <xdr:row>21</xdr:row>
      <xdr:rowOff>204108</xdr:rowOff>
    </xdr:from>
    <xdr:to>
      <xdr:col>36</xdr:col>
      <xdr:colOff>585108</xdr:colOff>
      <xdr:row>21</xdr:row>
      <xdr:rowOff>204108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5FED7EF-C91C-4253-B4B8-2D9F50647E75}"/>
            </a:ext>
          </a:extLst>
        </xdr:cNvPr>
        <xdr:cNvCxnSpPr/>
      </xdr:nvCxnSpPr>
      <xdr:spPr>
        <a:xfrm flipH="1">
          <a:off x="22819178" y="10273394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190500</xdr:colOff>
      <xdr:row>38</xdr:row>
      <xdr:rowOff>217714</xdr:rowOff>
    </xdr:from>
    <xdr:to>
      <xdr:col>28</xdr:col>
      <xdr:colOff>530680</xdr:colOff>
      <xdr:row>38</xdr:row>
      <xdr:rowOff>217714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2A68F60C-01AA-4093-8F51-1CF49996EC4D}"/>
            </a:ext>
          </a:extLst>
        </xdr:cNvPr>
        <xdr:cNvCxnSpPr/>
      </xdr:nvCxnSpPr>
      <xdr:spPr>
        <a:xfrm flipH="1">
          <a:off x="25948821" y="13335000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11</xdr:row>
      <xdr:rowOff>217714</xdr:rowOff>
    </xdr:from>
    <xdr:to>
      <xdr:col>25</xdr:col>
      <xdr:colOff>530680</xdr:colOff>
      <xdr:row>11</xdr:row>
      <xdr:rowOff>217714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C0CE5262-1C48-41C3-B5D7-7B6E2EB4D42E}"/>
            </a:ext>
          </a:extLst>
        </xdr:cNvPr>
        <xdr:cNvCxnSpPr/>
      </xdr:nvCxnSpPr>
      <xdr:spPr>
        <a:xfrm flipH="1">
          <a:off x="22764750" y="6858000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190500</xdr:colOff>
      <xdr:row>13</xdr:row>
      <xdr:rowOff>217714</xdr:rowOff>
    </xdr:from>
    <xdr:to>
      <xdr:col>25</xdr:col>
      <xdr:colOff>530680</xdr:colOff>
      <xdr:row>13</xdr:row>
      <xdr:rowOff>217714</xdr:rowOff>
    </xdr:to>
    <xdr:cxnSp macro="">
      <xdr:nvCxnSpPr>
        <xdr:cNvPr id="10" name="Straight Arrow Connector 9">
          <a:extLst>
            <a:ext uri="{FF2B5EF4-FFF2-40B4-BE49-F238E27FC236}">
              <a16:creationId xmlns:a16="http://schemas.microsoft.com/office/drawing/2014/main" id="{8E0CE0BF-8595-44E3-825B-E7818DDBD8E3}"/>
            </a:ext>
          </a:extLst>
        </xdr:cNvPr>
        <xdr:cNvCxnSpPr/>
      </xdr:nvCxnSpPr>
      <xdr:spPr>
        <a:xfrm flipH="1">
          <a:off x="22764750" y="3810000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14</xdr:row>
      <xdr:rowOff>217714</xdr:rowOff>
    </xdr:from>
    <xdr:to>
      <xdr:col>25</xdr:col>
      <xdr:colOff>544287</xdr:colOff>
      <xdr:row>14</xdr:row>
      <xdr:rowOff>217714</xdr:rowOff>
    </xdr:to>
    <xdr:cxnSp macro="">
      <xdr:nvCxnSpPr>
        <xdr:cNvPr id="11" name="Straight Arrow Connector 10">
          <a:extLst>
            <a:ext uri="{FF2B5EF4-FFF2-40B4-BE49-F238E27FC236}">
              <a16:creationId xmlns:a16="http://schemas.microsoft.com/office/drawing/2014/main" id="{7B7E00B9-4344-48AD-A49C-6B10889E46B2}"/>
            </a:ext>
          </a:extLst>
        </xdr:cNvPr>
        <xdr:cNvCxnSpPr/>
      </xdr:nvCxnSpPr>
      <xdr:spPr>
        <a:xfrm flipH="1">
          <a:off x="22778357" y="4953000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16</xdr:row>
      <xdr:rowOff>217714</xdr:rowOff>
    </xdr:from>
    <xdr:to>
      <xdr:col>25</xdr:col>
      <xdr:colOff>544287</xdr:colOff>
      <xdr:row>16</xdr:row>
      <xdr:rowOff>217714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1D55B8F1-5799-48E1-BA28-D582509092DD}"/>
            </a:ext>
          </a:extLst>
        </xdr:cNvPr>
        <xdr:cNvCxnSpPr/>
      </xdr:nvCxnSpPr>
      <xdr:spPr>
        <a:xfrm flipH="1">
          <a:off x="22778357" y="4953000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18</xdr:row>
      <xdr:rowOff>217714</xdr:rowOff>
    </xdr:from>
    <xdr:to>
      <xdr:col>25</xdr:col>
      <xdr:colOff>544287</xdr:colOff>
      <xdr:row>18</xdr:row>
      <xdr:rowOff>217714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A1BD7E30-813E-448B-99A2-2FA2EC96AF1B}"/>
            </a:ext>
          </a:extLst>
        </xdr:cNvPr>
        <xdr:cNvCxnSpPr/>
      </xdr:nvCxnSpPr>
      <xdr:spPr>
        <a:xfrm flipH="1">
          <a:off x="22778357" y="5715000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20</xdr:row>
      <xdr:rowOff>217714</xdr:rowOff>
    </xdr:from>
    <xdr:to>
      <xdr:col>25</xdr:col>
      <xdr:colOff>544287</xdr:colOff>
      <xdr:row>20</xdr:row>
      <xdr:rowOff>217714</xdr:rowOff>
    </xdr:to>
    <xdr:cxnSp macro="">
      <xdr:nvCxnSpPr>
        <xdr:cNvPr id="14" name="Straight Arrow Connector 13">
          <a:extLst>
            <a:ext uri="{FF2B5EF4-FFF2-40B4-BE49-F238E27FC236}">
              <a16:creationId xmlns:a16="http://schemas.microsoft.com/office/drawing/2014/main" id="{68E6DF84-26CF-4ECA-BE0D-F1062146076B}"/>
            </a:ext>
          </a:extLst>
        </xdr:cNvPr>
        <xdr:cNvCxnSpPr/>
      </xdr:nvCxnSpPr>
      <xdr:spPr>
        <a:xfrm flipH="1">
          <a:off x="22778357" y="6477000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21</xdr:row>
      <xdr:rowOff>217714</xdr:rowOff>
    </xdr:from>
    <xdr:to>
      <xdr:col>25</xdr:col>
      <xdr:colOff>544287</xdr:colOff>
      <xdr:row>21</xdr:row>
      <xdr:rowOff>217714</xdr:rowOff>
    </xdr:to>
    <xdr:cxnSp macro="">
      <xdr:nvCxnSpPr>
        <xdr:cNvPr id="15" name="Straight Arrow Connector 14">
          <a:extLst>
            <a:ext uri="{FF2B5EF4-FFF2-40B4-BE49-F238E27FC236}">
              <a16:creationId xmlns:a16="http://schemas.microsoft.com/office/drawing/2014/main" id="{6E69162C-05EE-4888-84F8-8A2AF2AE9DD8}"/>
            </a:ext>
          </a:extLst>
        </xdr:cNvPr>
        <xdr:cNvCxnSpPr/>
      </xdr:nvCxnSpPr>
      <xdr:spPr>
        <a:xfrm flipH="1">
          <a:off x="22778357" y="7116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23</xdr:row>
      <xdr:rowOff>217714</xdr:rowOff>
    </xdr:from>
    <xdr:to>
      <xdr:col>25</xdr:col>
      <xdr:colOff>544287</xdr:colOff>
      <xdr:row>23</xdr:row>
      <xdr:rowOff>217714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4051A19-4152-4C74-B1BB-23DB2599F49D}"/>
            </a:ext>
          </a:extLst>
        </xdr:cNvPr>
        <xdr:cNvCxnSpPr/>
      </xdr:nvCxnSpPr>
      <xdr:spPr>
        <a:xfrm flipH="1">
          <a:off x="22778357" y="7116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204107</xdr:colOff>
      <xdr:row>16</xdr:row>
      <xdr:rowOff>217714</xdr:rowOff>
    </xdr:from>
    <xdr:to>
      <xdr:col>31</xdr:col>
      <xdr:colOff>544287</xdr:colOff>
      <xdr:row>16</xdr:row>
      <xdr:rowOff>217714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A959F575-760E-4CDA-B9D4-3E96725CC014}"/>
            </a:ext>
          </a:extLst>
        </xdr:cNvPr>
        <xdr:cNvCxnSpPr/>
      </xdr:nvCxnSpPr>
      <xdr:spPr>
        <a:xfrm flipH="1">
          <a:off x="22778357" y="5592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204107</xdr:colOff>
      <xdr:row>23</xdr:row>
      <xdr:rowOff>217714</xdr:rowOff>
    </xdr:from>
    <xdr:to>
      <xdr:col>31</xdr:col>
      <xdr:colOff>544287</xdr:colOff>
      <xdr:row>23</xdr:row>
      <xdr:rowOff>217714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D158598A-41A1-4417-AFAF-4FD4EABFD503}"/>
            </a:ext>
          </a:extLst>
        </xdr:cNvPr>
        <xdr:cNvCxnSpPr/>
      </xdr:nvCxnSpPr>
      <xdr:spPr>
        <a:xfrm flipH="1">
          <a:off x="29908500" y="5592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204107</xdr:colOff>
      <xdr:row>16</xdr:row>
      <xdr:rowOff>217714</xdr:rowOff>
    </xdr:from>
    <xdr:to>
      <xdr:col>31</xdr:col>
      <xdr:colOff>544287</xdr:colOff>
      <xdr:row>16</xdr:row>
      <xdr:rowOff>217714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62234841-9FEC-432F-BA54-5CF326F5D839}"/>
            </a:ext>
          </a:extLst>
        </xdr:cNvPr>
        <xdr:cNvCxnSpPr/>
      </xdr:nvCxnSpPr>
      <xdr:spPr>
        <a:xfrm flipH="1">
          <a:off x="29908500" y="5592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204107</xdr:colOff>
      <xdr:row>17</xdr:row>
      <xdr:rowOff>217714</xdr:rowOff>
    </xdr:from>
    <xdr:to>
      <xdr:col>31</xdr:col>
      <xdr:colOff>544287</xdr:colOff>
      <xdr:row>17</xdr:row>
      <xdr:rowOff>217714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FA773B29-F16D-4614-9FFB-BE70E2E425AF}"/>
            </a:ext>
          </a:extLst>
        </xdr:cNvPr>
        <xdr:cNvCxnSpPr/>
      </xdr:nvCxnSpPr>
      <xdr:spPr>
        <a:xfrm flipH="1">
          <a:off x="29908500" y="5592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204107</xdr:colOff>
      <xdr:row>17</xdr:row>
      <xdr:rowOff>217714</xdr:rowOff>
    </xdr:from>
    <xdr:to>
      <xdr:col>31</xdr:col>
      <xdr:colOff>544287</xdr:colOff>
      <xdr:row>17</xdr:row>
      <xdr:rowOff>217714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934BD84-F3A7-4B18-88B3-86B027D41FF8}"/>
            </a:ext>
          </a:extLst>
        </xdr:cNvPr>
        <xdr:cNvCxnSpPr/>
      </xdr:nvCxnSpPr>
      <xdr:spPr>
        <a:xfrm flipH="1">
          <a:off x="29908500" y="5592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204107</xdr:colOff>
      <xdr:row>10</xdr:row>
      <xdr:rowOff>217714</xdr:rowOff>
    </xdr:from>
    <xdr:to>
      <xdr:col>31</xdr:col>
      <xdr:colOff>544287</xdr:colOff>
      <xdr:row>10</xdr:row>
      <xdr:rowOff>217714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24C40B44-182B-47BF-B402-695C4310C90A}"/>
            </a:ext>
          </a:extLst>
        </xdr:cNvPr>
        <xdr:cNvCxnSpPr/>
      </xdr:nvCxnSpPr>
      <xdr:spPr>
        <a:xfrm flipH="1">
          <a:off x="29908500" y="5973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204107</xdr:colOff>
      <xdr:row>10</xdr:row>
      <xdr:rowOff>217714</xdr:rowOff>
    </xdr:from>
    <xdr:to>
      <xdr:col>31</xdr:col>
      <xdr:colOff>544287</xdr:colOff>
      <xdr:row>10</xdr:row>
      <xdr:rowOff>217714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45C096AB-3C45-4998-BEA6-7D09272C7A38}"/>
            </a:ext>
          </a:extLst>
        </xdr:cNvPr>
        <xdr:cNvCxnSpPr/>
      </xdr:nvCxnSpPr>
      <xdr:spPr>
        <a:xfrm flipH="1">
          <a:off x="29908500" y="5973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204107</xdr:colOff>
      <xdr:row>25</xdr:row>
      <xdr:rowOff>217714</xdr:rowOff>
    </xdr:from>
    <xdr:to>
      <xdr:col>25</xdr:col>
      <xdr:colOff>544287</xdr:colOff>
      <xdr:row>25</xdr:row>
      <xdr:rowOff>217714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6A9EC555-3B64-491E-9B6B-756273CF2138}"/>
            </a:ext>
          </a:extLst>
        </xdr:cNvPr>
        <xdr:cNvCxnSpPr/>
      </xdr:nvCxnSpPr>
      <xdr:spPr>
        <a:xfrm flipH="1">
          <a:off x="22778357" y="8259535"/>
          <a:ext cx="340180" cy="0"/>
        </a:xfrm>
        <a:prstGeom prst="straightConnector1">
          <a:avLst/>
        </a:prstGeom>
        <a:ln>
          <a:tailEnd type="triangle"/>
        </a:ln>
      </xdr:spPr>
      <xdr:style>
        <a:lnRef idx="2">
          <a:schemeClr val="accent5"/>
        </a:lnRef>
        <a:fillRef idx="0">
          <a:schemeClr val="accent5"/>
        </a:fillRef>
        <a:effectRef idx="1">
          <a:schemeClr val="accent5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2:X91"/>
  <sheetViews>
    <sheetView topLeftCell="B1" zoomScale="70" zoomScaleNormal="70" workbookViewId="0">
      <pane xSplit="1" ySplit="4" topLeftCell="C5" activePane="bottomRight" state="frozen"/>
      <selection pane="topRight" activeCell="C1" sqref="C1"/>
      <selection pane="bottomLeft" activeCell="B5" sqref="B5"/>
      <selection pane="bottomRight" activeCell="C16" sqref="C16:C23"/>
    </sheetView>
  </sheetViews>
  <sheetFormatPr defaultColWidth="11.85546875" defaultRowHeight="12.75"/>
  <cols>
    <col min="1" max="2" width="11.85546875" style="87"/>
    <col min="3" max="3" width="11.85546875" style="90"/>
    <col min="4" max="5" width="11.85546875" style="87"/>
    <col min="6" max="7" width="11.85546875" style="90"/>
    <col min="8" max="11" width="0" style="87" hidden="1" customWidth="1"/>
    <col min="12" max="12" width="11.85546875" style="90"/>
    <col min="13" max="16" width="0" style="87" hidden="1" customWidth="1"/>
    <col min="17" max="17" width="11.85546875" style="87"/>
    <col min="18" max="19" width="11.85546875" style="90"/>
    <col min="20" max="16384" width="11.85546875" style="87"/>
  </cols>
  <sheetData>
    <row r="2" spans="2:24" ht="36" customHeight="1">
      <c r="B2" s="213" t="s">
        <v>202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171"/>
    </row>
    <row r="3" spans="2:24" ht="15.75" customHeight="1">
      <c r="B3" s="214" t="s">
        <v>0</v>
      </c>
      <c r="C3" s="208" t="s">
        <v>1</v>
      </c>
      <c r="D3" s="207" t="s">
        <v>2</v>
      </c>
      <c r="E3" s="207"/>
      <c r="F3" s="207"/>
      <c r="G3" s="207"/>
      <c r="H3" s="207" t="s">
        <v>3</v>
      </c>
      <c r="I3" s="207"/>
      <c r="J3" s="207"/>
      <c r="K3" s="207"/>
      <c r="L3" s="208" t="s">
        <v>37</v>
      </c>
      <c r="M3" s="207" t="s">
        <v>5</v>
      </c>
      <c r="N3" s="209"/>
      <c r="O3" s="209"/>
      <c r="P3" s="209"/>
      <c r="Q3" s="206" t="s">
        <v>32</v>
      </c>
      <c r="R3" s="206" t="s">
        <v>33</v>
      </c>
      <c r="S3" s="206" t="s">
        <v>34</v>
      </c>
    </row>
    <row r="4" spans="2:24" ht="48" customHeight="1">
      <c r="B4" s="214"/>
      <c r="C4" s="208"/>
      <c r="D4" s="173" t="s">
        <v>9</v>
      </c>
      <c r="E4" s="173" t="s">
        <v>10</v>
      </c>
      <c r="F4" s="172" t="s">
        <v>11</v>
      </c>
      <c r="G4" s="172" t="s">
        <v>12</v>
      </c>
      <c r="H4" s="173" t="s">
        <v>13</v>
      </c>
      <c r="I4" s="173" t="s">
        <v>14</v>
      </c>
      <c r="J4" s="173" t="s">
        <v>15</v>
      </c>
      <c r="K4" s="173" t="s">
        <v>16</v>
      </c>
      <c r="L4" s="208"/>
      <c r="M4" s="173" t="s">
        <v>17</v>
      </c>
      <c r="N4" s="173" t="s">
        <v>18</v>
      </c>
      <c r="O4" s="173" t="s">
        <v>19</v>
      </c>
      <c r="P4" s="173" t="s">
        <v>20</v>
      </c>
      <c r="Q4" s="206"/>
      <c r="R4" s="206"/>
      <c r="S4" s="206"/>
      <c r="U4" s="87" t="s">
        <v>199</v>
      </c>
      <c r="V4" s="87" t="s">
        <v>201</v>
      </c>
      <c r="W4" s="87" t="s">
        <v>198</v>
      </c>
      <c r="X4" s="87" t="s">
        <v>200</v>
      </c>
    </row>
    <row r="5" spans="2:24" ht="24.95" customHeight="1">
      <c r="B5" s="210" t="s">
        <v>193</v>
      </c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2"/>
      <c r="U5" s="87">
        <v>1.44</v>
      </c>
      <c r="V5" s="87">
        <v>1.71</v>
      </c>
      <c r="W5" s="87">
        <v>2.15</v>
      </c>
      <c r="X5" s="87">
        <v>2.71</v>
      </c>
    </row>
    <row r="6" spans="2:24">
      <c r="B6" s="176" t="s">
        <v>21</v>
      </c>
      <c r="C6" s="82">
        <f>VLOOKUP(B6,'Not Used'!U$8:V$16,2,FALSE)</f>
        <v>0.79288400000000003</v>
      </c>
      <c r="D6" s="83">
        <v>0</v>
      </c>
      <c r="E6" s="83">
        <v>0</v>
      </c>
      <c r="F6" s="83">
        <v>0</v>
      </c>
      <c r="G6" s="83">
        <v>100</v>
      </c>
      <c r="H6" s="84">
        <v>0.3</v>
      </c>
      <c r="I6" s="84">
        <v>0.81</v>
      </c>
      <c r="J6" s="84">
        <v>1.46</v>
      </c>
      <c r="K6" s="84">
        <v>2.57</v>
      </c>
      <c r="L6" s="92">
        <f t="shared" ref="L6:L28" si="0">((C6*D6*H6)+(C6*E6*I6)+(C6*F6*J6)+(C6*G6*K6))/100</f>
        <v>2.0377118800000003</v>
      </c>
      <c r="M6" s="84">
        <v>0.11</v>
      </c>
      <c r="N6" s="84">
        <v>0.26</v>
      </c>
      <c r="O6" s="84">
        <v>0.43</v>
      </c>
      <c r="P6" s="84">
        <v>1.43</v>
      </c>
      <c r="Q6" s="86">
        <f t="shared" ref="Q6:Q28" si="1">((C6*D6*M6)+(C6*E6*N6)+(C6*F6*O6)+(C6*G6*P6))/1200</f>
        <v>9.4485343333333346E-2</v>
      </c>
      <c r="R6" s="86">
        <f>Q6+((C6*G6/100)*((V$5-U$5)/12))</f>
        <v>0.11232523333333336</v>
      </c>
      <c r="S6" s="86">
        <f>Q6+((C6*G6/100)*((X$5-U$5)/12))</f>
        <v>0.17839890000000003</v>
      </c>
    </row>
    <row r="7" spans="2:24">
      <c r="B7" s="176" t="s">
        <v>22</v>
      </c>
      <c r="C7" s="82">
        <f>VLOOKUP(B7,'Not Used'!U$8:V$16,2,FALSE)</f>
        <v>0.73960599999999999</v>
      </c>
      <c r="D7" s="83">
        <v>0</v>
      </c>
      <c r="E7" s="83">
        <v>0</v>
      </c>
      <c r="F7" s="83">
        <v>0</v>
      </c>
      <c r="G7" s="83">
        <v>100</v>
      </c>
      <c r="H7" s="84">
        <v>0.3</v>
      </c>
      <c r="I7" s="84">
        <v>0.81</v>
      </c>
      <c r="J7" s="84">
        <v>1.46</v>
      </c>
      <c r="K7" s="84">
        <v>2.57</v>
      </c>
      <c r="L7" s="92">
        <f t="shared" si="0"/>
        <v>1.9007874199999997</v>
      </c>
      <c r="M7" s="84">
        <v>0.11</v>
      </c>
      <c r="N7" s="84">
        <v>0.26</v>
      </c>
      <c r="O7" s="84">
        <v>0.43</v>
      </c>
      <c r="P7" s="84">
        <v>1.43</v>
      </c>
      <c r="Q7" s="86">
        <f t="shared" si="1"/>
        <v>8.8136381666666666E-2</v>
      </c>
      <c r="R7" s="86">
        <f t="shared" ref="R7:R14" si="2">Q7+((C7*G7/100)*((V$5-U$5)/12))</f>
        <v>0.10477751666666667</v>
      </c>
      <c r="S7" s="86">
        <f t="shared" ref="S7:S14" si="3">Q7+((C7*G7/100)*((X$5-U$5)/12))</f>
        <v>0.16641135000000001</v>
      </c>
    </row>
    <row r="8" spans="2:24">
      <c r="B8" s="176" t="s">
        <v>23</v>
      </c>
      <c r="C8" s="82">
        <f>VLOOKUP(B8,'Not Used'!U$8:V$16,2,FALSE)</f>
        <v>0.31398300000000001</v>
      </c>
      <c r="D8" s="83">
        <v>0</v>
      </c>
      <c r="E8" s="83">
        <v>0</v>
      </c>
      <c r="F8" s="83">
        <v>0</v>
      </c>
      <c r="G8" s="83">
        <v>100</v>
      </c>
      <c r="H8" s="84">
        <v>0.3</v>
      </c>
      <c r="I8" s="84">
        <v>0.81</v>
      </c>
      <c r="J8" s="84">
        <v>1.46</v>
      </c>
      <c r="K8" s="84">
        <v>2.57</v>
      </c>
      <c r="L8" s="92">
        <f t="shared" si="0"/>
        <v>0.80693630999999999</v>
      </c>
      <c r="M8" s="84">
        <v>0.11</v>
      </c>
      <c r="N8" s="84">
        <v>0.26</v>
      </c>
      <c r="O8" s="84">
        <v>0.43</v>
      </c>
      <c r="P8" s="84">
        <v>1.43</v>
      </c>
      <c r="Q8" s="86">
        <f t="shared" si="1"/>
        <v>3.7416307500000003E-2</v>
      </c>
      <c r="R8" s="86">
        <f t="shared" si="2"/>
        <v>4.4480925000000004E-2</v>
      </c>
      <c r="S8" s="86">
        <f t="shared" si="3"/>
        <v>7.0646175000000005E-2</v>
      </c>
    </row>
    <row r="9" spans="2:24">
      <c r="B9" s="176" t="s">
        <v>24</v>
      </c>
      <c r="C9" s="82">
        <f>VLOOKUP(B9,'Not Used'!U$8:V$16,2,FALSE)</f>
        <v>0.72142600000000001</v>
      </c>
      <c r="D9" s="83">
        <v>0</v>
      </c>
      <c r="E9" s="83">
        <v>0</v>
      </c>
      <c r="F9" s="83">
        <v>0</v>
      </c>
      <c r="G9" s="83">
        <v>100</v>
      </c>
      <c r="H9" s="84">
        <v>0.3</v>
      </c>
      <c r="I9" s="84">
        <v>0.81</v>
      </c>
      <c r="J9" s="84">
        <v>1.46</v>
      </c>
      <c r="K9" s="84">
        <v>2.57</v>
      </c>
      <c r="L9" s="92">
        <f t="shared" si="0"/>
        <v>1.8540648199999998</v>
      </c>
      <c r="M9" s="84">
        <v>0.11</v>
      </c>
      <c r="N9" s="84">
        <v>0.26</v>
      </c>
      <c r="O9" s="84">
        <v>0.43</v>
      </c>
      <c r="P9" s="84">
        <v>1.43</v>
      </c>
      <c r="Q9" s="86">
        <f t="shared" si="1"/>
        <v>8.5969931666666666E-2</v>
      </c>
      <c r="R9" s="86">
        <f t="shared" si="2"/>
        <v>0.10220201666666667</v>
      </c>
      <c r="S9" s="86">
        <f t="shared" si="3"/>
        <v>0.16232085000000002</v>
      </c>
    </row>
    <row r="10" spans="2:24">
      <c r="B10" s="176" t="s">
        <v>25</v>
      </c>
      <c r="C10" s="82">
        <f>VLOOKUP(B10,'Not Used'!U$8:V$16,2,FALSE)</f>
        <v>0.50716600000000001</v>
      </c>
      <c r="D10" s="83">
        <v>0</v>
      </c>
      <c r="E10" s="83">
        <v>0</v>
      </c>
      <c r="F10" s="83">
        <v>0</v>
      </c>
      <c r="G10" s="83">
        <v>100</v>
      </c>
      <c r="H10" s="84">
        <v>0.3</v>
      </c>
      <c r="I10" s="84">
        <v>0.81</v>
      </c>
      <c r="J10" s="84">
        <v>1.46</v>
      </c>
      <c r="K10" s="84">
        <v>2.57</v>
      </c>
      <c r="L10" s="92">
        <f t="shared" si="0"/>
        <v>1.3034166199999999</v>
      </c>
      <c r="M10" s="84">
        <v>0.11</v>
      </c>
      <c r="N10" s="84">
        <v>0.26</v>
      </c>
      <c r="O10" s="84">
        <v>0.43</v>
      </c>
      <c r="P10" s="84">
        <v>1.43</v>
      </c>
      <c r="Q10" s="86">
        <f t="shared" si="1"/>
        <v>6.0437281666666669E-2</v>
      </c>
      <c r="R10" s="86">
        <f t="shared" si="2"/>
        <v>7.1848516666666667E-2</v>
      </c>
      <c r="S10" s="86">
        <f t="shared" si="3"/>
        <v>0.11411235</v>
      </c>
    </row>
    <row r="11" spans="2:24">
      <c r="B11" s="176" t="s">
        <v>26</v>
      </c>
      <c r="C11" s="82">
        <f>VLOOKUP(B11,'Not Used'!U$8:V$16,2,FALSE)</f>
        <v>0.52869500000000003</v>
      </c>
      <c r="D11" s="83">
        <v>0</v>
      </c>
      <c r="E11" s="83">
        <v>0</v>
      </c>
      <c r="F11" s="83">
        <v>0</v>
      </c>
      <c r="G11" s="83">
        <v>100</v>
      </c>
      <c r="H11" s="84">
        <v>0.3</v>
      </c>
      <c r="I11" s="84">
        <v>0.81</v>
      </c>
      <c r="J11" s="84">
        <v>1.46</v>
      </c>
      <c r="K11" s="84">
        <v>2.57</v>
      </c>
      <c r="L11" s="92">
        <f t="shared" si="0"/>
        <v>1.35874615</v>
      </c>
      <c r="M11" s="84">
        <v>0.11</v>
      </c>
      <c r="N11" s="84">
        <v>0.26</v>
      </c>
      <c r="O11" s="84">
        <v>0.43</v>
      </c>
      <c r="P11" s="84">
        <v>1.43</v>
      </c>
      <c r="Q11" s="86">
        <f t="shared" si="1"/>
        <v>6.3002820833333334E-2</v>
      </c>
      <c r="R11" s="86">
        <f t="shared" si="2"/>
        <v>7.4898458333333334E-2</v>
      </c>
      <c r="S11" s="86">
        <f t="shared" si="3"/>
        <v>0.118956375</v>
      </c>
    </row>
    <row r="12" spans="2:24">
      <c r="B12" s="176" t="s">
        <v>27</v>
      </c>
      <c r="C12" s="82">
        <f>VLOOKUP(B12,'Not Used'!U$8:V$16,2,FALSE)</f>
        <v>0.46362100000000001</v>
      </c>
      <c r="D12" s="83">
        <v>0</v>
      </c>
      <c r="E12" s="83">
        <v>0</v>
      </c>
      <c r="F12" s="83">
        <v>0</v>
      </c>
      <c r="G12" s="83">
        <v>100</v>
      </c>
      <c r="H12" s="84">
        <v>0.3</v>
      </c>
      <c r="I12" s="84">
        <v>0.81</v>
      </c>
      <c r="J12" s="84">
        <v>1.46</v>
      </c>
      <c r="K12" s="84">
        <v>2.57</v>
      </c>
      <c r="L12" s="92">
        <f>((C12*D12*H12)+(C12*E12*I12)+(C12*F12*J12)+(C12*G12*K12))/100</f>
        <v>1.1915059699999999</v>
      </c>
      <c r="M12" s="84">
        <v>0.11</v>
      </c>
      <c r="N12" s="84">
        <v>0.26</v>
      </c>
      <c r="O12" s="84">
        <v>0.43</v>
      </c>
      <c r="P12" s="84">
        <v>1.43</v>
      </c>
      <c r="Q12" s="86">
        <f t="shared" si="1"/>
        <v>5.5248169166666659E-2</v>
      </c>
      <c r="R12" s="86">
        <f t="shared" si="2"/>
        <v>6.5679641666666663E-2</v>
      </c>
      <c r="S12" s="86">
        <f t="shared" si="3"/>
        <v>0.104314725</v>
      </c>
    </row>
    <row r="13" spans="2:24">
      <c r="B13" s="176" t="s">
        <v>28</v>
      </c>
      <c r="C13" s="82">
        <f>VLOOKUP(B13,'Not Used'!U$8:V$16,2,FALSE)</f>
        <v>0.73328499999999996</v>
      </c>
      <c r="D13" s="83">
        <v>0</v>
      </c>
      <c r="E13" s="83">
        <v>0</v>
      </c>
      <c r="F13" s="83">
        <v>0</v>
      </c>
      <c r="G13" s="83">
        <v>100</v>
      </c>
      <c r="H13" s="84">
        <v>0.3</v>
      </c>
      <c r="I13" s="84">
        <v>0.81</v>
      </c>
      <c r="J13" s="84">
        <v>1.46</v>
      </c>
      <c r="K13" s="84">
        <v>2.57</v>
      </c>
      <c r="L13" s="92">
        <f t="shared" si="0"/>
        <v>1.8845424499999996</v>
      </c>
      <c r="M13" s="84">
        <v>0.11</v>
      </c>
      <c r="N13" s="84">
        <v>0.26</v>
      </c>
      <c r="O13" s="84">
        <v>0.43</v>
      </c>
      <c r="P13" s="84">
        <v>1.43</v>
      </c>
      <c r="Q13" s="86">
        <f t="shared" si="1"/>
        <v>8.7383129166666643E-2</v>
      </c>
      <c r="R13" s="86">
        <f t="shared" si="2"/>
        <v>0.10388204166666665</v>
      </c>
      <c r="S13" s="86">
        <f t="shared" si="3"/>
        <v>0.16498912499999996</v>
      </c>
    </row>
    <row r="14" spans="2:24">
      <c r="B14" s="176" t="s">
        <v>29</v>
      </c>
      <c r="C14" s="82">
        <f>VLOOKUP(B14,'Not Used'!U$8:V$16,2,FALSE)</f>
        <v>0.70745800000000003</v>
      </c>
      <c r="D14" s="83">
        <v>0</v>
      </c>
      <c r="E14" s="83">
        <v>0</v>
      </c>
      <c r="F14" s="83">
        <v>0</v>
      </c>
      <c r="G14" s="83">
        <v>100</v>
      </c>
      <c r="H14" s="84">
        <v>0.3</v>
      </c>
      <c r="I14" s="84">
        <v>0.81</v>
      </c>
      <c r="J14" s="84">
        <v>1.46</v>
      </c>
      <c r="K14" s="84">
        <v>2.57</v>
      </c>
      <c r="L14" s="92">
        <f t="shared" si="0"/>
        <v>1.8181670599999997</v>
      </c>
      <c r="M14" s="84">
        <v>0.11</v>
      </c>
      <c r="N14" s="84">
        <v>0.26</v>
      </c>
      <c r="O14" s="84">
        <v>0.43</v>
      </c>
      <c r="P14" s="84">
        <v>1.43</v>
      </c>
      <c r="Q14" s="86">
        <f t="shared" si="1"/>
        <v>8.4305411666666663E-2</v>
      </c>
      <c r="R14" s="86">
        <f t="shared" si="2"/>
        <v>0.10022321666666667</v>
      </c>
      <c r="S14" s="86">
        <f t="shared" si="3"/>
        <v>0.15917805000000002</v>
      </c>
    </row>
    <row r="15" spans="2:24" ht="24.95" customHeight="1">
      <c r="B15" s="210" t="s">
        <v>194</v>
      </c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2"/>
    </row>
    <row r="16" spans="2:24" ht="15">
      <c r="B16" s="176" t="s">
        <v>157</v>
      </c>
      <c r="C16" s="4">
        <v>0.104856</v>
      </c>
      <c r="D16" s="83">
        <v>0</v>
      </c>
      <c r="E16" s="83">
        <v>0</v>
      </c>
      <c r="F16" s="83">
        <v>0</v>
      </c>
      <c r="G16" s="83">
        <v>100</v>
      </c>
      <c r="H16" s="84">
        <v>0.3</v>
      </c>
      <c r="I16" s="84">
        <v>0.81</v>
      </c>
      <c r="J16" s="84">
        <v>1.46</v>
      </c>
      <c r="K16" s="84">
        <v>2.57</v>
      </c>
      <c r="L16" s="92">
        <f t="shared" si="0"/>
        <v>0.26947991999999998</v>
      </c>
      <c r="M16" s="84">
        <v>0.11</v>
      </c>
      <c r="N16" s="84">
        <v>0.26</v>
      </c>
      <c r="O16" s="84">
        <v>0.43</v>
      </c>
      <c r="P16" s="84">
        <v>1.43</v>
      </c>
      <c r="Q16" s="86">
        <f t="shared" si="1"/>
        <v>1.2495340000000001E-2</v>
      </c>
      <c r="R16" s="86">
        <f t="shared" ref="R16" si="4">Q16+((C16*G16/100)*((V$5-U$5)/12))</f>
        <v>1.4854600000000001E-2</v>
      </c>
      <c r="S16" s="86">
        <f t="shared" ref="S16" si="5">Q16+((C16*G16/100)*((X$5-U$5)/12))</f>
        <v>2.3592600000000002E-2</v>
      </c>
    </row>
    <row r="17" spans="2:19" ht="15">
      <c r="B17" s="176" t="s">
        <v>158</v>
      </c>
      <c r="C17" s="4">
        <v>0.33191900000000002</v>
      </c>
      <c r="D17" s="83">
        <v>0</v>
      </c>
      <c r="E17" s="83">
        <v>0</v>
      </c>
      <c r="F17" s="83">
        <v>0</v>
      </c>
      <c r="G17" s="83">
        <v>100</v>
      </c>
      <c r="H17" s="84">
        <v>0.3</v>
      </c>
      <c r="I17" s="84">
        <v>0.81</v>
      </c>
      <c r="J17" s="84">
        <v>1.46</v>
      </c>
      <c r="K17" s="84">
        <v>2.57</v>
      </c>
      <c r="L17" s="92">
        <f t="shared" si="0"/>
        <v>0.85303183000000005</v>
      </c>
      <c r="M17" s="84">
        <v>0.11</v>
      </c>
      <c r="N17" s="84">
        <v>0.26</v>
      </c>
      <c r="O17" s="84">
        <v>0.43</v>
      </c>
      <c r="P17" s="84">
        <v>1.43</v>
      </c>
      <c r="Q17" s="86">
        <f t="shared" si="1"/>
        <v>3.9553680833333334E-2</v>
      </c>
      <c r="R17" s="86">
        <f t="shared" ref="R17:R23" si="6">Q17+((C17*G17/100)*((V$5-U$5)/12))</f>
        <v>4.7021858333333333E-2</v>
      </c>
      <c r="S17" s="86">
        <f t="shared" ref="S17:S23" si="7">Q17+((C17*G17/100)*((X$5-U$5)/12))</f>
        <v>7.4681775000000006E-2</v>
      </c>
    </row>
    <row r="18" spans="2:19" ht="15">
      <c r="B18" s="176" t="s">
        <v>159</v>
      </c>
      <c r="C18" s="4">
        <v>0.24190700000000001</v>
      </c>
      <c r="D18" s="83">
        <v>0</v>
      </c>
      <c r="E18" s="83">
        <v>0</v>
      </c>
      <c r="F18" s="83">
        <v>0</v>
      </c>
      <c r="G18" s="83">
        <v>100</v>
      </c>
      <c r="H18" s="84">
        <v>0.3</v>
      </c>
      <c r="I18" s="84">
        <v>0.81</v>
      </c>
      <c r="J18" s="84">
        <v>1.46</v>
      </c>
      <c r="K18" s="84">
        <v>2.57</v>
      </c>
      <c r="L18" s="92">
        <f t="shared" si="0"/>
        <v>0.6217009899999999</v>
      </c>
      <c r="M18" s="84">
        <v>0.11</v>
      </c>
      <c r="N18" s="84">
        <v>0.26</v>
      </c>
      <c r="O18" s="84">
        <v>0.43</v>
      </c>
      <c r="P18" s="84">
        <v>1.43</v>
      </c>
      <c r="Q18" s="86">
        <f t="shared" si="1"/>
        <v>2.8827250833333332E-2</v>
      </c>
      <c r="R18" s="86">
        <f t="shared" si="6"/>
        <v>3.4270158333333328E-2</v>
      </c>
      <c r="S18" s="86">
        <f t="shared" si="7"/>
        <v>5.4429074999999993E-2</v>
      </c>
    </row>
    <row r="19" spans="2:19" ht="15">
      <c r="B19" s="176" t="s">
        <v>160</v>
      </c>
      <c r="C19" s="4">
        <v>0.44311</v>
      </c>
      <c r="D19" s="83">
        <v>0</v>
      </c>
      <c r="E19" s="83">
        <v>0</v>
      </c>
      <c r="F19" s="83">
        <v>0</v>
      </c>
      <c r="G19" s="83">
        <v>100</v>
      </c>
      <c r="H19" s="84">
        <v>0.3</v>
      </c>
      <c r="I19" s="84">
        <v>0.81</v>
      </c>
      <c r="J19" s="84">
        <v>1.46</v>
      </c>
      <c r="K19" s="84">
        <v>2.57</v>
      </c>
      <c r="L19" s="92">
        <f t="shared" si="0"/>
        <v>1.1387927</v>
      </c>
      <c r="M19" s="84">
        <v>0.11</v>
      </c>
      <c r="N19" s="84">
        <v>0.26</v>
      </c>
      <c r="O19" s="84">
        <v>0.43</v>
      </c>
      <c r="P19" s="84">
        <v>1.43</v>
      </c>
      <c r="Q19" s="86">
        <f t="shared" si="1"/>
        <v>5.2803941666666659E-2</v>
      </c>
      <c r="R19" s="86">
        <f t="shared" si="6"/>
        <v>6.2773916666666665E-2</v>
      </c>
      <c r="S19" s="86">
        <f t="shared" si="7"/>
        <v>9.9699750000000004E-2</v>
      </c>
    </row>
    <row r="20" spans="2:19" ht="15">
      <c r="B20" s="176" t="s">
        <v>161</v>
      </c>
      <c r="C20" s="4">
        <v>0.27080300000000002</v>
      </c>
      <c r="D20" s="83">
        <v>0</v>
      </c>
      <c r="E20" s="83">
        <v>0</v>
      </c>
      <c r="F20" s="83">
        <v>0</v>
      </c>
      <c r="G20" s="83">
        <v>100</v>
      </c>
      <c r="H20" s="84">
        <v>0.3</v>
      </c>
      <c r="I20" s="84">
        <v>0.81</v>
      </c>
      <c r="J20" s="84">
        <v>1.46</v>
      </c>
      <c r="K20" s="84">
        <v>2.57</v>
      </c>
      <c r="L20" s="92">
        <f t="shared" si="0"/>
        <v>0.69596371000000001</v>
      </c>
      <c r="M20" s="84">
        <v>0.11</v>
      </c>
      <c r="N20" s="84">
        <v>0.26</v>
      </c>
      <c r="O20" s="84">
        <v>0.43</v>
      </c>
      <c r="P20" s="84">
        <v>1.43</v>
      </c>
      <c r="Q20" s="86">
        <f t="shared" si="1"/>
        <v>3.2270690833333331E-2</v>
      </c>
      <c r="R20" s="86">
        <f t="shared" si="6"/>
        <v>3.8363758333333331E-2</v>
      </c>
      <c r="S20" s="86">
        <f t="shared" si="7"/>
        <v>6.0930675000000004E-2</v>
      </c>
    </row>
    <row r="21" spans="2:19" ht="15">
      <c r="B21" s="176" t="s">
        <v>162</v>
      </c>
      <c r="C21" s="4">
        <v>9.9219000000000002E-2</v>
      </c>
      <c r="D21" s="83">
        <v>0</v>
      </c>
      <c r="E21" s="83">
        <v>0</v>
      </c>
      <c r="F21" s="83">
        <v>0</v>
      </c>
      <c r="G21" s="83">
        <v>100</v>
      </c>
      <c r="H21" s="84">
        <v>0.3</v>
      </c>
      <c r="I21" s="84">
        <v>0.81</v>
      </c>
      <c r="J21" s="84">
        <v>1.46</v>
      </c>
      <c r="K21" s="84">
        <v>2.57</v>
      </c>
      <c r="L21" s="92">
        <f t="shared" si="0"/>
        <v>0.25499283</v>
      </c>
      <c r="M21" s="84">
        <v>0.11</v>
      </c>
      <c r="N21" s="84">
        <v>0.26</v>
      </c>
      <c r="O21" s="84">
        <v>0.43</v>
      </c>
      <c r="P21" s="84">
        <v>1.43</v>
      </c>
      <c r="Q21" s="86">
        <f t="shared" si="1"/>
        <v>1.1823597500000001E-2</v>
      </c>
      <c r="R21" s="86">
        <f t="shared" si="6"/>
        <v>1.4056025000000002E-2</v>
      </c>
      <c r="S21" s="86">
        <f t="shared" si="7"/>
        <v>2.2324275000000001E-2</v>
      </c>
    </row>
    <row r="22" spans="2:19" ht="15">
      <c r="B22" s="176" t="s">
        <v>163</v>
      </c>
      <c r="C22" s="4">
        <v>0.29681800000000003</v>
      </c>
      <c r="D22" s="83">
        <v>0</v>
      </c>
      <c r="E22" s="83">
        <v>0</v>
      </c>
      <c r="F22" s="83">
        <v>0</v>
      </c>
      <c r="G22" s="83">
        <v>100</v>
      </c>
      <c r="H22" s="84">
        <v>0.3</v>
      </c>
      <c r="I22" s="84">
        <v>0.81</v>
      </c>
      <c r="J22" s="84">
        <v>1.46</v>
      </c>
      <c r="K22" s="84">
        <v>2.57</v>
      </c>
      <c r="L22" s="92">
        <f t="shared" si="0"/>
        <v>0.76282226000000009</v>
      </c>
      <c r="M22" s="84">
        <v>0.11</v>
      </c>
      <c r="N22" s="84">
        <v>0.26</v>
      </c>
      <c r="O22" s="84">
        <v>0.43</v>
      </c>
      <c r="P22" s="84">
        <v>1.43</v>
      </c>
      <c r="Q22" s="86">
        <f t="shared" si="1"/>
        <v>3.5370811666666668E-2</v>
      </c>
      <c r="R22" s="86">
        <f t="shared" si="6"/>
        <v>4.2049216666666667E-2</v>
      </c>
      <c r="S22" s="86">
        <f t="shared" si="7"/>
        <v>6.6784050000000011E-2</v>
      </c>
    </row>
    <row r="23" spans="2:19" ht="15">
      <c r="B23" s="176" t="s">
        <v>164</v>
      </c>
      <c r="C23" s="4">
        <v>0.28165200000000001</v>
      </c>
      <c r="D23" s="83">
        <v>0</v>
      </c>
      <c r="E23" s="83">
        <v>0</v>
      </c>
      <c r="F23" s="83">
        <v>0</v>
      </c>
      <c r="G23" s="83">
        <v>100</v>
      </c>
      <c r="H23" s="84">
        <v>0.3</v>
      </c>
      <c r="I23" s="84">
        <v>0.81</v>
      </c>
      <c r="J23" s="84">
        <v>1.46</v>
      </c>
      <c r="K23" s="84">
        <v>2.57</v>
      </c>
      <c r="L23" s="92">
        <f t="shared" si="0"/>
        <v>0.72384563999999996</v>
      </c>
      <c r="M23" s="84">
        <v>0.11</v>
      </c>
      <c r="N23" s="84">
        <v>0.26</v>
      </c>
      <c r="O23" s="84">
        <v>0.43</v>
      </c>
      <c r="P23" s="84">
        <v>1.43</v>
      </c>
      <c r="Q23" s="86">
        <f t="shared" si="1"/>
        <v>3.3563530000000001E-2</v>
      </c>
      <c r="R23" s="86">
        <f t="shared" si="6"/>
        <v>3.9900700000000004E-2</v>
      </c>
      <c r="S23" s="86">
        <f t="shared" si="7"/>
        <v>6.3371700000000003E-2</v>
      </c>
    </row>
    <row r="24" spans="2:19" ht="24.95" customHeight="1">
      <c r="B24" s="214" t="s">
        <v>0</v>
      </c>
      <c r="C24" s="208" t="s">
        <v>1</v>
      </c>
      <c r="D24" s="207" t="s">
        <v>2</v>
      </c>
      <c r="E24" s="207"/>
      <c r="F24" s="207"/>
      <c r="G24" s="207"/>
      <c r="H24" s="207" t="s">
        <v>3</v>
      </c>
      <c r="I24" s="207"/>
      <c r="J24" s="207"/>
      <c r="K24" s="207"/>
      <c r="L24" s="208" t="s">
        <v>37</v>
      </c>
      <c r="M24" s="207" t="s">
        <v>5</v>
      </c>
      <c r="N24" s="209"/>
      <c r="O24" s="209"/>
      <c r="P24" s="209"/>
      <c r="Q24" s="206" t="s">
        <v>32</v>
      </c>
      <c r="R24" s="206" t="s">
        <v>33</v>
      </c>
      <c r="S24" s="206" t="s">
        <v>34</v>
      </c>
    </row>
    <row r="25" spans="2:19" ht="25.5">
      <c r="B25" s="214"/>
      <c r="C25" s="208"/>
      <c r="D25" s="173" t="s">
        <v>9</v>
      </c>
      <c r="E25" s="173" t="s">
        <v>10</v>
      </c>
      <c r="F25" s="172" t="s">
        <v>11</v>
      </c>
      <c r="G25" s="172" t="s">
        <v>12</v>
      </c>
      <c r="H25" s="173" t="s">
        <v>13</v>
      </c>
      <c r="I25" s="173" t="s">
        <v>14</v>
      </c>
      <c r="J25" s="173" t="s">
        <v>15</v>
      </c>
      <c r="K25" s="173" t="s">
        <v>16</v>
      </c>
      <c r="L25" s="208"/>
      <c r="M25" s="173" t="s">
        <v>17</v>
      </c>
      <c r="N25" s="173" t="s">
        <v>18</v>
      </c>
      <c r="O25" s="173" t="s">
        <v>19</v>
      </c>
      <c r="P25" s="173" t="s">
        <v>20</v>
      </c>
      <c r="Q25" s="206"/>
      <c r="R25" s="206"/>
      <c r="S25" s="206"/>
    </row>
    <row r="26" spans="2:19">
      <c r="B26" s="210" t="s">
        <v>195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2"/>
    </row>
    <row r="27" spans="2:19" ht="15">
      <c r="B27" s="176" t="s">
        <v>165</v>
      </c>
      <c r="C27" s="4">
        <v>0.65142500000000003</v>
      </c>
      <c r="D27" s="83">
        <v>0</v>
      </c>
      <c r="E27" s="83">
        <v>15</v>
      </c>
      <c r="F27" s="83">
        <v>15</v>
      </c>
      <c r="G27" s="83">
        <v>70</v>
      </c>
      <c r="H27" s="84">
        <v>0.3</v>
      </c>
      <c r="I27" s="84">
        <v>0.81</v>
      </c>
      <c r="J27" s="84">
        <v>1.46</v>
      </c>
      <c r="K27" s="84">
        <v>2.57</v>
      </c>
      <c r="L27" s="92">
        <f t="shared" si="0"/>
        <v>1.3937237874999999</v>
      </c>
      <c r="M27" s="84">
        <v>0.11</v>
      </c>
      <c r="N27" s="84">
        <v>0.26</v>
      </c>
      <c r="O27" s="84">
        <v>0.43</v>
      </c>
      <c r="P27" s="84">
        <v>1.43</v>
      </c>
      <c r="Q27" s="86">
        <f t="shared" si="1"/>
        <v>5.9958242708333324E-2</v>
      </c>
      <c r="R27" s="86">
        <f t="shared" ref="R27:R35" si="8">Q27+((C27*G27/100)*((V$5-U$5)/12))</f>
        <v>7.0218186458333332E-2</v>
      </c>
      <c r="S27" s="86">
        <f t="shared" ref="S27:S35" si="9">Q27+((C27*G27/100)*((X$5-U$5)/12))</f>
        <v>0.10821797812499999</v>
      </c>
    </row>
    <row r="28" spans="2:19" ht="15">
      <c r="B28" s="176" t="s">
        <v>166</v>
      </c>
      <c r="C28" s="4">
        <v>0.86971100000000001</v>
      </c>
      <c r="D28" s="83">
        <v>0</v>
      </c>
      <c r="E28" s="83">
        <v>15</v>
      </c>
      <c r="F28" s="83">
        <v>15</v>
      </c>
      <c r="G28" s="83">
        <v>70</v>
      </c>
      <c r="H28" s="84">
        <v>0.3</v>
      </c>
      <c r="I28" s="84">
        <v>0.81</v>
      </c>
      <c r="J28" s="84">
        <v>1.46</v>
      </c>
      <c r="K28" s="84">
        <v>2.57</v>
      </c>
      <c r="L28" s="92">
        <f t="shared" si="0"/>
        <v>1.8607466844999998</v>
      </c>
      <c r="M28" s="84">
        <v>0.11</v>
      </c>
      <c r="N28" s="84">
        <v>0.26</v>
      </c>
      <c r="O28" s="84">
        <v>0.43</v>
      </c>
      <c r="P28" s="84">
        <v>1.43</v>
      </c>
      <c r="Q28" s="86">
        <f t="shared" si="1"/>
        <v>8.004964995833333E-2</v>
      </c>
      <c r="R28" s="86">
        <f t="shared" si="8"/>
        <v>9.3747598208333338E-2</v>
      </c>
      <c r="S28" s="86">
        <f t="shared" si="9"/>
        <v>0.14448073987499999</v>
      </c>
    </row>
    <row r="29" spans="2:19" ht="15">
      <c r="B29" s="176" t="s">
        <v>167</v>
      </c>
      <c r="C29" s="4">
        <v>1.0331939999999999</v>
      </c>
      <c r="D29" s="83">
        <v>0</v>
      </c>
      <c r="E29" s="83">
        <v>15</v>
      </c>
      <c r="F29" s="83">
        <v>15</v>
      </c>
      <c r="G29" s="83">
        <v>70</v>
      </c>
      <c r="H29" s="84">
        <v>0.3</v>
      </c>
      <c r="I29" s="84">
        <v>0.81</v>
      </c>
      <c r="J29" s="84">
        <v>1.46</v>
      </c>
      <c r="K29" s="84">
        <v>2.57</v>
      </c>
      <c r="L29" s="92">
        <f t="shared" ref="L29:L32" si="10">((C29*D29*H29)+(C29*E29*I29)+(C29*F29*J29)+(C29*G29*K29))/100</f>
        <v>2.2105185629999995</v>
      </c>
      <c r="M29" s="84">
        <v>0.11</v>
      </c>
      <c r="N29" s="84">
        <v>0.26</v>
      </c>
      <c r="O29" s="84">
        <v>0.43</v>
      </c>
      <c r="P29" s="84">
        <v>1.43</v>
      </c>
      <c r="Q29" s="86">
        <f t="shared" ref="Q29:Q32" si="11">((C29*D29*M29)+(C29*E29*N29)+(C29*F29*O29)+(C29*G29*P29))/1200</f>
        <v>9.5096897749999992E-2</v>
      </c>
      <c r="R29" s="86">
        <f t="shared" si="8"/>
        <v>0.11136970324999999</v>
      </c>
      <c r="S29" s="86">
        <f t="shared" si="9"/>
        <v>0.17163935324999996</v>
      </c>
    </row>
    <row r="30" spans="2:19" ht="15">
      <c r="B30" s="176" t="s">
        <v>168</v>
      </c>
      <c r="C30" s="4">
        <v>1.360743</v>
      </c>
      <c r="D30" s="83">
        <v>0</v>
      </c>
      <c r="E30" s="83">
        <v>15</v>
      </c>
      <c r="F30" s="83">
        <v>15</v>
      </c>
      <c r="G30" s="83">
        <v>70</v>
      </c>
      <c r="H30" s="84">
        <v>0.3</v>
      </c>
      <c r="I30" s="84">
        <v>0.81</v>
      </c>
      <c r="J30" s="84">
        <v>1.46</v>
      </c>
      <c r="K30" s="84">
        <v>2.57</v>
      </c>
      <c r="L30" s="92">
        <f t="shared" si="10"/>
        <v>2.9113096485000001</v>
      </c>
      <c r="M30" s="84">
        <v>0.11</v>
      </c>
      <c r="N30" s="84">
        <v>0.26</v>
      </c>
      <c r="O30" s="84">
        <v>0.43</v>
      </c>
      <c r="P30" s="84">
        <v>1.43</v>
      </c>
      <c r="Q30" s="86">
        <f t="shared" si="11"/>
        <v>0.12524505362499999</v>
      </c>
      <c r="R30" s="86">
        <f t="shared" si="8"/>
        <v>0.14667675587500001</v>
      </c>
      <c r="S30" s="86">
        <f t="shared" si="9"/>
        <v>0.22605343087499999</v>
      </c>
    </row>
    <row r="31" spans="2:19" ht="15">
      <c r="B31" s="176" t="s">
        <v>169</v>
      </c>
      <c r="C31" s="4">
        <v>0.97969799999999996</v>
      </c>
      <c r="D31" s="83">
        <v>0</v>
      </c>
      <c r="E31" s="83">
        <v>15</v>
      </c>
      <c r="F31" s="83">
        <v>15</v>
      </c>
      <c r="G31" s="83">
        <v>70</v>
      </c>
      <c r="H31" s="84">
        <v>0.3</v>
      </c>
      <c r="I31" s="84">
        <v>0.81</v>
      </c>
      <c r="J31" s="84">
        <v>1.46</v>
      </c>
      <c r="K31" s="84">
        <v>2.57</v>
      </c>
      <c r="L31" s="92">
        <f t="shared" si="10"/>
        <v>2.0960638709999997</v>
      </c>
      <c r="M31" s="84">
        <v>0.11</v>
      </c>
      <c r="N31" s="84">
        <v>0.26</v>
      </c>
      <c r="O31" s="84">
        <v>0.43</v>
      </c>
      <c r="P31" s="84">
        <v>1.43</v>
      </c>
      <c r="Q31" s="86">
        <f t="shared" si="11"/>
        <v>9.0173036749999991E-2</v>
      </c>
      <c r="R31" s="86">
        <f t="shared" si="8"/>
        <v>0.10560328024999999</v>
      </c>
      <c r="S31" s="86">
        <f t="shared" si="9"/>
        <v>0.16275233024999999</v>
      </c>
    </row>
    <row r="32" spans="2:19" ht="15">
      <c r="B32" s="176" t="s">
        <v>170</v>
      </c>
      <c r="C32" s="4">
        <v>1.2950349999999999</v>
      </c>
      <c r="D32" s="83">
        <v>0</v>
      </c>
      <c r="E32" s="83">
        <v>15</v>
      </c>
      <c r="F32" s="83">
        <v>15</v>
      </c>
      <c r="G32" s="83">
        <v>70</v>
      </c>
      <c r="H32" s="84">
        <v>0.3</v>
      </c>
      <c r="I32" s="84">
        <v>0.81</v>
      </c>
      <c r="J32" s="84">
        <v>1.46</v>
      </c>
      <c r="K32" s="84">
        <v>2.57</v>
      </c>
      <c r="L32" s="92">
        <f t="shared" si="10"/>
        <v>2.7707273825000001</v>
      </c>
      <c r="M32" s="84">
        <v>0.11</v>
      </c>
      <c r="N32" s="84">
        <v>0.26</v>
      </c>
      <c r="O32" s="84">
        <v>0.43</v>
      </c>
      <c r="P32" s="84">
        <v>1.43</v>
      </c>
      <c r="Q32" s="86">
        <f t="shared" si="11"/>
        <v>0.11919717979166668</v>
      </c>
      <c r="R32" s="86">
        <f t="shared" si="8"/>
        <v>0.13959398104166668</v>
      </c>
      <c r="S32" s="86">
        <f t="shared" si="9"/>
        <v>0.21513768937500002</v>
      </c>
    </row>
    <row r="33" spans="2:23" ht="15">
      <c r="B33" s="176" t="s">
        <v>171</v>
      </c>
      <c r="C33" s="4">
        <v>2.3832900000000001</v>
      </c>
      <c r="D33" s="83">
        <v>0</v>
      </c>
      <c r="E33" s="83">
        <v>15</v>
      </c>
      <c r="F33" s="83">
        <v>15</v>
      </c>
      <c r="G33" s="83">
        <v>70</v>
      </c>
      <c r="H33" s="84">
        <v>0.3</v>
      </c>
      <c r="I33" s="84">
        <v>0.81</v>
      </c>
      <c r="J33" s="84">
        <v>1.46</v>
      </c>
      <c r="K33" s="84">
        <v>2.57</v>
      </c>
      <c r="L33" s="92">
        <f t="shared" ref="L33:L35" si="12">((C33*D33*H33)+(C33*E33*I33)+(C33*F33*J33)+(C33*G33*K33))/100</f>
        <v>5.0990489549999998</v>
      </c>
      <c r="M33" s="84">
        <v>0.11</v>
      </c>
      <c r="N33" s="84">
        <v>0.26</v>
      </c>
      <c r="O33" s="84">
        <v>0.43</v>
      </c>
      <c r="P33" s="84">
        <v>1.43</v>
      </c>
      <c r="Q33" s="86">
        <f t="shared" ref="Q33:Q35" si="13">((C33*D33*M33)+(C33*E33*N33)+(C33*F33*O33)+(C33*G33*P33))/1200</f>
        <v>0.21936198375000004</v>
      </c>
      <c r="R33" s="86">
        <f t="shared" si="8"/>
        <v>0.25689880125000009</v>
      </c>
      <c r="S33" s="86">
        <f t="shared" si="9"/>
        <v>0.39592405125000008</v>
      </c>
    </row>
    <row r="34" spans="2:23" ht="15">
      <c r="B34" s="176" t="s">
        <v>172</v>
      </c>
      <c r="C34" s="4">
        <v>0.70773900000000001</v>
      </c>
      <c r="D34" s="83">
        <v>0</v>
      </c>
      <c r="E34" s="83">
        <v>15</v>
      </c>
      <c r="F34" s="83">
        <v>15</v>
      </c>
      <c r="G34" s="83">
        <v>70</v>
      </c>
      <c r="H34" s="84">
        <v>0.3</v>
      </c>
      <c r="I34" s="84">
        <v>0.81</v>
      </c>
      <c r="J34" s="84">
        <v>1.46</v>
      </c>
      <c r="K34" s="84">
        <v>2.57</v>
      </c>
      <c r="L34" s="92">
        <f t="shared" si="12"/>
        <v>1.5142075905000001</v>
      </c>
      <c r="M34" s="84">
        <v>0.11</v>
      </c>
      <c r="N34" s="84">
        <v>0.26</v>
      </c>
      <c r="O34" s="84">
        <v>0.43</v>
      </c>
      <c r="P34" s="84">
        <v>1.43</v>
      </c>
      <c r="Q34" s="86">
        <f t="shared" si="13"/>
        <v>6.5141477125E-2</v>
      </c>
      <c r="R34" s="86">
        <f t="shared" si="8"/>
        <v>7.6288366375E-2</v>
      </c>
      <c r="S34" s="86">
        <f t="shared" si="9"/>
        <v>0.117573141375</v>
      </c>
      <c r="W34" s="90"/>
    </row>
    <row r="35" spans="2:23" ht="15">
      <c r="B35" s="176" t="s">
        <v>189</v>
      </c>
      <c r="C35" s="4">
        <v>1.344231</v>
      </c>
      <c r="D35" s="83">
        <v>0</v>
      </c>
      <c r="E35" s="83">
        <v>15</v>
      </c>
      <c r="F35" s="83">
        <v>15</v>
      </c>
      <c r="G35" s="83">
        <v>70</v>
      </c>
      <c r="H35" s="84">
        <v>0.3</v>
      </c>
      <c r="I35" s="84">
        <v>0.81</v>
      </c>
      <c r="J35" s="84">
        <v>1.46</v>
      </c>
      <c r="K35" s="84">
        <v>2.57</v>
      </c>
      <c r="L35" s="92">
        <f t="shared" si="12"/>
        <v>2.8759822245</v>
      </c>
      <c r="M35" s="84">
        <v>0.11</v>
      </c>
      <c r="N35" s="84">
        <v>0.26</v>
      </c>
      <c r="O35" s="84">
        <v>0.43</v>
      </c>
      <c r="P35" s="84">
        <v>1.43</v>
      </c>
      <c r="Q35" s="86">
        <f t="shared" si="13"/>
        <v>0.12372526162499999</v>
      </c>
      <c r="R35" s="86">
        <f t="shared" si="8"/>
        <v>0.14489689987499998</v>
      </c>
      <c r="S35" s="86">
        <f t="shared" si="9"/>
        <v>0.223310374875</v>
      </c>
    </row>
    <row r="36" spans="2:23" ht="15">
      <c r="B36" s="176" t="s">
        <v>188</v>
      </c>
      <c r="C36" s="4">
        <v>1.3215239999999999</v>
      </c>
      <c r="D36" s="83">
        <v>0</v>
      </c>
      <c r="E36" s="83">
        <v>15</v>
      </c>
      <c r="F36" s="83">
        <v>15</v>
      </c>
      <c r="G36" s="83">
        <v>70</v>
      </c>
      <c r="H36" s="84">
        <v>0.3</v>
      </c>
      <c r="I36" s="84">
        <v>0.81</v>
      </c>
      <c r="J36" s="84">
        <v>1.46</v>
      </c>
      <c r="K36" s="84">
        <v>2.57</v>
      </c>
      <c r="L36" s="92">
        <f>((C36*D36*H36)+(C36*E36*I36)+(C36*F36*J36)+(C36*G36*K36))/100</f>
        <v>2.8274005979999992</v>
      </c>
      <c r="M36" s="84">
        <v>0.11</v>
      </c>
      <c r="N36" s="84">
        <v>0.26</v>
      </c>
      <c r="O36" s="84">
        <v>0.43</v>
      </c>
      <c r="P36" s="84">
        <v>1.43</v>
      </c>
      <c r="Q36" s="86">
        <f>((C36*D36*M36)+(C36*E36*N36)+(C36*F36*O36)+(C36*G36*P36))/1200</f>
        <v>0.12163527149999998</v>
      </c>
      <c r="R36" s="86">
        <f>Q36+((C36*G36/100)*((V$5-U$5)/12))</f>
        <v>0.14244927449999997</v>
      </c>
      <c r="S36" s="86">
        <f>Q36+((C36*G36/100)*((X$5-U$5)/12))</f>
        <v>0.21953817449999996</v>
      </c>
    </row>
    <row r="37" spans="2:23" ht="15">
      <c r="B37" s="176" t="s">
        <v>190</v>
      </c>
      <c r="C37" s="4">
        <v>5.2732080000000003</v>
      </c>
      <c r="D37" s="83">
        <v>0</v>
      </c>
      <c r="E37" s="83">
        <v>15</v>
      </c>
      <c r="F37" s="83">
        <v>15</v>
      </c>
      <c r="G37" s="83">
        <v>70</v>
      </c>
      <c r="H37" s="84">
        <v>0.3</v>
      </c>
      <c r="I37" s="84">
        <v>0.81</v>
      </c>
      <c r="J37" s="84">
        <v>1.46</v>
      </c>
      <c r="K37" s="84">
        <v>2.57</v>
      </c>
      <c r="L37" s="92">
        <f>((C37*D37*H37)+(C37*E37*I37)+(C37*F37*J37)+(C37*G37*K37))/100</f>
        <v>11.282028516</v>
      </c>
      <c r="M37" s="84">
        <v>0.11</v>
      </c>
      <c r="N37" s="84">
        <v>0.26</v>
      </c>
      <c r="O37" s="84">
        <v>0.43</v>
      </c>
      <c r="P37" s="84">
        <v>1.43</v>
      </c>
      <c r="Q37" s="86">
        <f>((C37*D37*M37)+(C37*E37*N37)+(C37*F37*O37)+(C37*G37*P37))/1200</f>
        <v>0.48535485300000003</v>
      </c>
      <c r="R37" s="86">
        <f>Q37+((C37*G37/100)*((V$5-U$5)/12))</f>
        <v>0.568407879</v>
      </c>
      <c r="S37" s="86">
        <f>Q37+((C37*G37/100)*((X$5-U$5)/12))</f>
        <v>0.8760116790000001</v>
      </c>
    </row>
    <row r="38" spans="2:23">
      <c r="C38" s="87"/>
      <c r="F38" s="87"/>
      <c r="G38" s="87"/>
      <c r="L38" s="87"/>
      <c r="R38" s="87"/>
      <c r="S38" s="87"/>
    </row>
    <row r="39" spans="2:23">
      <c r="C39" s="87"/>
      <c r="F39" s="87"/>
      <c r="G39" s="87"/>
      <c r="L39" s="87"/>
      <c r="R39" s="87"/>
      <c r="S39" s="87"/>
    </row>
    <row r="40" spans="2:23">
      <c r="C40" s="87"/>
      <c r="F40" s="87"/>
      <c r="G40" s="87"/>
      <c r="L40" s="87"/>
      <c r="R40" s="87"/>
      <c r="S40" s="87"/>
    </row>
    <row r="41" spans="2:23" s="177" customFormat="1"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</row>
    <row r="42" spans="2:23" s="177" customFormat="1"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</row>
    <row r="43" spans="2:23" s="177" customFormat="1">
      <c r="F43" s="87"/>
      <c r="G43" s="87"/>
    </row>
    <row r="44" spans="2:23" s="177" customFormat="1">
      <c r="F44" s="87"/>
      <c r="G44" s="87"/>
    </row>
    <row r="45" spans="2:23" s="177" customFormat="1">
      <c r="F45" s="87"/>
      <c r="G45" s="87"/>
    </row>
    <row r="46" spans="2:23" s="177" customFormat="1">
      <c r="F46" s="87"/>
      <c r="G46" s="87"/>
    </row>
    <row r="47" spans="2:23">
      <c r="B47" s="177"/>
      <c r="C47" s="177"/>
      <c r="D47" s="177"/>
      <c r="E47" s="177"/>
      <c r="F47" s="87"/>
      <c r="G47" s="87"/>
      <c r="H47" s="177"/>
      <c r="I47" s="177"/>
      <c r="J47" s="177"/>
      <c r="K47" s="177"/>
      <c r="L47" s="177"/>
      <c r="M47" s="177"/>
      <c r="N47" s="177"/>
      <c r="O47" s="177"/>
      <c r="P47" s="177"/>
      <c r="Q47" s="177"/>
      <c r="R47" s="177"/>
      <c r="S47" s="177"/>
    </row>
    <row r="48" spans="2:23">
      <c r="B48" s="177"/>
      <c r="C48" s="177"/>
      <c r="D48" s="177"/>
      <c r="E48" s="177"/>
      <c r="F48" s="87"/>
      <c r="G48" s="87"/>
      <c r="H48" s="177"/>
      <c r="I48" s="177"/>
      <c r="J48" s="177"/>
      <c r="K48" s="177"/>
      <c r="L48" s="177"/>
      <c r="M48" s="177"/>
      <c r="N48" s="177"/>
      <c r="O48" s="177"/>
      <c r="P48" s="177"/>
      <c r="Q48" s="177"/>
      <c r="R48" s="177"/>
      <c r="S48" s="177"/>
    </row>
    <row r="49" spans="2:19">
      <c r="C49" s="87"/>
      <c r="F49" s="87"/>
      <c r="G49" s="87"/>
      <c r="I49" s="90"/>
      <c r="J49" s="90"/>
      <c r="R49" s="87"/>
      <c r="S49" s="87"/>
    </row>
    <row r="50" spans="2:19">
      <c r="C50" s="87"/>
      <c r="F50" s="87"/>
      <c r="G50" s="87"/>
      <c r="L50" s="87"/>
      <c r="R50" s="87"/>
      <c r="S50" s="87"/>
    </row>
    <row r="51" spans="2:19">
      <c r="C51" s="87"/>
      <c r="F51" s="87"/>
      <c r="G51" s="87"/>
      <c r="L51" s="87"/>
      <c r="R51" s="87"/>
      <c r="S51" s="87"/>
    </row>
    <row r="52" spans="2:19">
      <c r="C52" s="87"/>
      <c r="F52" s="87"/>
      <c r="G52" s="87"/>
      <c r="L52" s="87"/>
      <c r="R52" s="87"/>
      <c r="S52" s="87"/>
    </row>
    <row r="53" spans="2:19" ht="12.75" customHeight="1">
      <c r="C53" s="87"/>
      <c r="F53" s="87"/>
      <c r="G53" s="87"/>
      <c r="L53" s="87"/>
      <c r="R53" s="87"/>
      <c r="S53" s="87"/>
    </row>
    <row r="54" spans="2:19">
      <c r="D54" s="90"/>
      <c r="F54" s="87"/>
      <c r="G54" s="87"/>
      <c r="L54" s="87"/>
      <c r="R54" s="87"/>
      <c r="S54" s="87"/>
    </row>
    <row r="55" spans="2:19">
      <c r="C55" s="87"/>
      <c r="F55" s="87"/>
      <c r="G55" s="87"/>
      <c r="L55" s="87"/>
      <c r="R55" s="87"/>
      <c r="S55" s="87"/>
    </row>
    <row r="56" spans="2:19">
      <c r="C56" s="87"/>
      <c r="F56" s="87"/>
      <c r="G56" s="87"/>
      <c r="L56" s="87"/>
      <c r="R56" s="87"/>
      <c r="S56" s="87"/>
    </row>
    <row r="57" spans="2:19">
      <c r="C57" s="87"/>
      <c r="F57" s="87"/>
      <c r="G57" s="87"/>
      <c r="L57" s="87"/>
      <c r="R57" s="87"/>
      <c r="S57" s="87"/>
    </row>
    <row r="58" spans="2:19">
      <c r="C58" s="87"/>
      <c r="F58" s="87"/>
      <c r="G58" s="87"/>
      <c r="L58" s="87"/>
      <c r="R58" s="87"/>
      <c r="S58" s="87"/>
    </row>
    <row r="59" spans="2:19">
      <c r="D59" s="90"/>
      <c r="F59" s="87"/>
      <c r="G59" s="87"/>
      <c r="L59" s="87"/>
      <c r="R59" s="87"/>
      <c r="S59" s="87"/>
    </row>
    <row r="60" spans="2:19">
      <c r="C60" s="87"/>
      <c r="F60" s="87"/>
      <c r="G60" s="87"/>
      <c r="L60" s="87"/>
      <c r="R60" s="87"/>
      <c r="S60" s="87"/>
    </row>
    <row r="61" spans="2:19">
      <c r="B61" s="90"/>
      <c r="C61" s="87"/>
      <c r="F61" s="87"/>
      <c r="G61" s="87"/>
      <c r="L61" s="87"/>
      <c r="R61" s="87"/>
      <c r="S61" s="87"/>
    </row>
    <row r="62" spans="2:19">
      <c r="C62" s="87"/>
      <c r="F62" s="87"/>
      <c r="G62" s="87"/>
      <c r="L62" s="87"/>
      <c r="R62" s="87"/>
      <c r="S62" s="87"/>
    </row>
    <row r="63" spans="2:19">
      <c r="C63" s="87"/>
      <c r="F63" s="87"/>
      <c r="G63" s="87"/>
      <c r="L63" s="87"/>
      <c r="R63" s="87"/>
      <c r="S63" s="87"/>
    </row>
    <row r="64" spans="2:19">
      <c r="C64" s="87"/>
      <c r="F64" s="87"/>
      <c r="G64" s="87"/>
      <c r="L64" s="87"/>
      <c r="R64" s="87"/>
      <c r="S64" s="87"/>
    </row>
    <row r="65" spans="2:19">
      <c r="C65" s="87"/>
      <c r="F65" s="87"/>
      <c r="G65" s="87"/>
      <c r="L65" s="87"/>
      <c r="R65" s="87"/>
      <c r="S65" s="87"/>
    </row>
    <row r="66" spans="2:19">
      <c r="C66" s="87"/>
      <c r="F66" s="87"/>
      <c r="G66" s="87"/>
      <c r="L66" s="87"/>
      <c r="R66" s="87"/>
      <c r="S66" s="87"/>
    </row>
    <row r="67" spans="2:19">
      <c r="C67" s="87"/>
      <c r="F67" s="87"/>
      <c r="G67" s="87"/>
      <c r="L67" s="87"/>
      <c r="R67" s="87"/>
      <c r="S67" s="87"/>
    </row>
    <row r="68" spans="2:19">
      <c r="C68" s="87"/>
      <c r="F68" s="87"/>
      <c r="G68" s="87"/>
      <c r="L68" s="87"/>
      <c r="R68" s="87"/>
      <c r="S68" s="87"/>
    </row>
    <row r="69" spans="2:19">
      <c r="C69" s="87"/>
      <c r="F69" s="87"/>
      <c r="G69" s="87"/>
      <c r="L69" s="87"/>
      <c r="R69" s="87"/>
      <c r="S69" s="87"/>
    </row>
    <row r="70" spans="2:19">
      <c r="C70" s="87"/>
      <c r="F70" s="87"/>
      <c r="G70" s="87"/>
      <c r="L70" s="87"/>
      <c r="R70" s="87"/>
      <c r="S70" s="87"/>
    </row>
    <row r="71" spans="2:19">
      <c r="C71" s="87"/>
      <c r="F71" s="87"/>
      <c r="G71" s="87"/>
      <c r="L71" s="87"/>
      <c r="R71" s="87"/>
      <c r="S71" s="87"/>
    </row>
    <row r="72" spans="2:19">
      <c r="C72" s="87"/>
      <c r="F72" s="87"/>
      <c r="G72" s="87"/>
      <c r="L72" s="87"/>
      <c r="R72" s="87"/>
      <c r="S72" s="87"/>
    </row>
    <row r="73" spans="2:19">
      <c r="C73" s="87"/>
      <c r="F73" s="87"/>
      <c r="G73" s="87"/>
      <c r="L73" s="87"/>
      <c r="R73" s="87"/>
      <c r="S73" s="87"/>
    </row>
    <row r="74" spans="2:19">
      <c r="C74" s="87"/>
      <c r="F74" s="87"/>
      <c r="G74" s="87"/>
      <c r="L74" s="87"/>
      <c r="R74" s="87"/>
      <c r="S74" s="87"/>
    </row>
    <row r="75" spans="2:19">
      <c r="C75" s="87"/>
      <c r="F75" s="87"/>
      <c r="G75" s="87"/>
      <c r="L75" s="87"/>
      <c r="R75" s="87"/>
      <c r="S75" s="87"/>
    </row>
    <row r="76" spans="2:19">
      <c r="C76" s="87"/>
      <c r="F76" s="87"/>
      <c r="G76" s="87"/>
      <c r="L76" s="87"/>
      <c r="R76" s="87"/>
      <c r="S76" s="87"/>
    </row>
    <row r="77" spans="2:19">
      <c r="C77" s="87"/>
      <c r="F77" s="87"/>
      <c r="G77" s="87"/>
      <c r="L77" s="87"/>
      <c r="R77" s="87"/>
      <c r="S77" s="87"/>
    </row>
    <row r="78" spans="2:19">
      <c r="C78" s="87"/>
      <c r="F78" s="87"/>
      <c r="G78" s="87"/>
      <c r="L78" s="87"/>
      <c r="R78" s="87"/>
      <c r="S78" s="87"/>
    </row>
    <row r="79" spans="2:19">
      <c r="C79" s="87"/>
      <c r="F79" s="87"/>
      <c r="G79" s="87"/>
      <c r="L79" s="87"/>
      <c r="R79" s="87"/>
      <c r="S79" s="87"/>
    </row>
    <row r="80" spans="2:19">
      <c r="B80" s="90"/>
      <c r="F80" s="87"/>
      <c r="G80" s="87"/>
      <c r="L80" s="87"/>
      <c r="R80" s="87"/>
      <c r="S80" s="87"/>
    </row>
    <row r="81" spans="3:19">
      <c r="C81" s="87"/>
      <c r="F81" s="87"/>
      <c r="G81" s="87"/>
      <c r="L81" s="87"/>
      <c r="R81" s="87"/>
      <c r="S81" s="87"/>
    </row>
    <row r="82" spans="3:19">
      <c r="C82" s="87"/>
      <c r="F82" s="87"/>
      <c r="G82" s="87"/>
      <c r="L82" s="87"/>
      <c r="R82" s="87"/>
      <c r="S82" s="87"/>
    </row>
    <row r="83" spans="3:19">
      <c r="C83" s="87"/>
      <c r="F83" s="87"/>
      <c r="G83" s="87"/>
      <c r="L83" s="87"/>
      <c r="R83" s="87"/>
    </row>
    <row r="84" spans="3:19">
      <c r="C84" s="87"/>
      <c r="F84" s="87"/>
      <c r="G84" s="87"/>
      <c r="L84" s="87"/>
      <c r="R84" s="87"/>
    </row>
    <row r="85" spans="3:19">
      <c r="C85" s="87"/>
      <c r="F85" s="87"/>
      <c r="G85" s="87"/>
      <c r="L85" s="87"/>
      <c r="R85" s="87"/>
    </row>
    <row r="86" spans="3:19">
      <c r="C86" s="87"/>
      <c r="F86" s="87"/>
      <c r="G86" s="87"/>
      <c r="L86" s="87"/>
      <c r="R86" s="87"/>
      <c r="S86" s="93"/>
    </row>
    <row r="87" spans="3:19">
      <c r="C87" s="87"/>
      <c r="F87" s="87"/>
      <c r="G87" s="87"/>
      <c r="L87" s="87"/>
      <c r="R87" s="87"/>
      <c r="S87" s="93"/>
    </row>
    <row r="88" spans="3:19">
      <c r="C88" s="87"/>
      <c r="F88" s="87"/>
      <c r="G88" s="87"/>
      <c r="L88" s="87"/>
      <c r="R88" s="87"/>
    </row>
    <row r="89" spans="3:19">
      <c r="C89" s="87"/>
      <c r="F89" s="87"/>
      <c r="G89" s="87"/>
      <c r="L89" s="87"/>
      <c r="R89" s="87"/>
    </row>
    <row r="90" spans="3:19">
      <c r="C90" s="87"/>
      <c r="F90" s="87"/>
      <c r="G90" s="87"/>
      <c r="L90" s="87"/>
      <c r="R90" s="87"/>
    </row>
    <row r="91" spans="3:19">
      <c r="C91" s="87"/>
      <c r="F91" s="87"/>
      <c r="G91" s="87"/>
      <c r="L91" s="87"/>
      <c r="R91" s="87"/>
    </row>
  </sheetData>
  <mergeCells count="22">
    <mergeCell ref="B15:S15"/>
    <mergeCell ref="B26:S26"/>
    <mergeCell ref="S3:S4"/>
    <mergeCell ref="B5:S5"/>
    <mergeCell ref="B2:R2"/>
    <mergeCell ref="B3:B4"/>
    <mergeCell ref="C3:C4"/>
    <mergeCell ref="D3:G3"/>
    <mergeCell ref="H3:K3"/>
    <mergeCell ref="L3:L4"/>
    <mergeCell ref="M3:P3"/>
    <mergeCell ref="Q3:Q4"/>
    <mergeCell ref="R3:R4"/>
    <mergeCell ref="B24:B25"/>
    <mergeCell ref="C24:C25"/>
    <mergeCell ref="D24:G24"/>
    <mergeCell ref="S24:S25"/>
    <mergeCell ref="H24:K24"/>
    <mergeCell ref="L24:L25"/>
    <mergeCell ref="M24:P24"/>
    <mergeCell ref="Q24:Q25"/>
    <mergeCell ref="R24:R25"/>
  </mergeCells>
  <printOptions horizontalCentered="1"/>
  <pageMargins left="0.7" right="0.7" top="0.75" bottom="0.75" header="0.3" footer="0.3"/>
  <pageSetup paperSize="3" scale="94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XEW103"/>
  <sheetViews>
    <sheetView topLeftCell="A10" zoomScale="85" zoomScaleNormal="85" workbookViewId="0">
      <selection activeCell="AD52" sqref="AD52"/>
    </sheetView>
  </sheetViews>
  <sheetFormatPr defaultRowHeight="12.75"/>
  <cols>
    <col min="1" max="1" width="11.5703125" style="78" bestFit="1" customWidth="1"/>
    <col min="2" max="2" width="8.7109375" style="87" bestFit="1" customWidth="1"/>
    <col min="3" max="3" width="11.28515625" style="90" bestFit="1" customWidth="1"/>
    <col min="4" max="5" width="9.140625" style="87" customWidth="1"/>
    <col min="6" max="7" width="9.140625" style="90" customWidth="1"/>
    <col min="8" max="8" width="10.85546875" style="87" hidden="1" customWidth="1"/>
    <col min="9" max="9" width="10.5703125" style="87" hidden="1" customWidth="1"/>
    <col min="10" max="11" width="10.42578125" style="87" hidden="1" customWidth="1"/>
    <col min="12" max="12" width="11.7109375" style="90" customWidth="1"/>
    <col min="13" max="16" width="9.140625" style="87" hidden="1" customWidth="1"/>
    <col min="17" max="17" width="12.28515625" style="87" customWidth="1"/>
    <col min="18" max="19" width="12.42578125" style="90" customWidth="1"/>
    <col min="20" max="20" width="9.140625" style="87" customWidth="1"/>
    <col min="21" max="22" width="24.140625" style="78" customWidth="1"/>
    <col min="23" max="23" width="12.7109375" style="78" bestFit="1" customWidth="1"/>
    <col min="24" max="16384" width="9.140625" style="78"/>
  </cols>
  <sheetData>
    <row r="2" spans="2:24" ht="36" customHeight="1">
      <c r="B2" s="213" t="s">
        <v>173</v>
      </c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79"/>
      <c r="T2" s="79"/>
    </row>
    <row r="3" spans="2:24" ht="15.75" customHeight="1">
      <c r="B3" s="214" t="s">
        <v>0</v>
      </c>
      <c r="C3" s="208" t="s">
        <v>1</v>
      </c>
      <c r="D3" s="207" t="s">
        <v>2</v>
      </c>
      <c r="E3" s="207"/>
      <c r="F3" s="207"/>
      <c r="G3" s="207"/>
      <c r="H3" s="207" t="s">
        <v>3</v>
      </c>
      <c r="I3" s="207"/>
      <c r="J3" s="207"/>
      <c r="K3" s="207"/>
      <c r="L3" s="208" t="s">
        <v>4</v>
      </c>
      <c r="M3" s="207" t="s">
        <v>5</v>
      </c>
      <c r="N3" s="209"/>
      <c r="O3" s="209"/>
      <c r="P3" s="209"/>
      <c r="Q3" s="206" t="s">
        <v>6</v>
      </c>
      <c r="R3" s="206" t="s">
        <v>7</v>
      </c>
      <c r="S3" s="206" t="s">
        <v>8</v>
      </c>
      <c r="T3" s="78"/>
    </row>
    <row r="4" spans="2:24" ht="48" customHeight="1">
      <c r="B4" s="214"/>
      <c r="C4" s="208"/>
      <c r="D4" s="80" t="s">
        <v>9</v>
      </c>
      <c r="E4" s="80" t="s">
        <v>10</v>
      </c>
      <c r="F4" s="81" t="s">
        <v>11</v>
      </c>
      <c r="G4" s="81" t="s">
        <v>12</v>
      </c>
      <c r="H4" s="80" t="s">
        <v>13</v>
      </c>
      <c r="I4" s="80" t="s">
        <v>14</v>
      </c>
      <c r="J4" s="80" t="s">
        <v>15</v>
      </c>
      <c r="K4" s="80" t="s">
        <v>16</v>
      </c>
      <c r="L4" s="208"/>
      <c r="M4" s="80" t="s">
        <v>17</v>
      </c>
      <c r="N4" s="80" t="s">
        <v>18</v>
      </c>
      <c r="O4" s="80" t="s">
        <v>19</v>
      </c>
      <c r="P4" s="80" t="s">
        <v>20</v>
      </c>
      <c r="Q4" s="206"/>
      <c r="R4" s="206"/>
      <c r="S4" s="206"/>
      <c r="T4" s="78"/>
      <c r="U4" s="78" t="s">
        <v>199</v>
      </c>
      <c r="V4" s="78" t="s">
        <v>201</v>
      </c>
      <c r="W4" s="78" t="s">
        <v>198</v>
      </c>
      <c r="X4" s="78" t="s">
        <v>200</v>
      </c>
    </row>
    <row r="5" spans="2:24" ht="24.95" customHeight="1">
      <c r="B5" s="214" t="s">
        <v>196</v>
      </c>
      <c r="C5" s="214"/>
      <c r="D5" s="214"/>
      <c r="E5" s="214"/>
      <c r="F5" s="214"/>
      <c r="G5" s="214"/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78"/>
      <c r="U5" s="78">
        <v>2.2200000000000002</v>
      </c>
      <c r="V5" s="78">
        <v>2.5299999999999998</v>
      </c>
      <c r="W5" s="78">
        <v>3.07</v>
      </c>
      <c r="X5" s="78">
        <v>3.83</v>
      </c>
    </row>
    <row r="6" spans="2:24" ht="33.75">
      <c r="B6" s="174" t="s">
        <v>21</v>
      </c>
      <c r="C6" s="82">
        <f>VLOOKUP(B6,'Not Used'!U$8:V$42,2,FALSE)</f>
        <v>0.79288400000000003</v>
      </c>
      <c r="D6" s="83">
        <v>0</v>
      </c>
      <c r="E6" s="83">
        <v>0</v>
      </c>
      <c r="F6" s="83">
        <v>0</v>
      </c>
      <c r="G6" s="83">
        <v>100</v>
      </c>
      <c r="H6" s="84">
        <f>1.54</f>
        <v>1.54</v>
      </c>
      <c r="I6" s="84">
        <f>2.16</f>
        <v>2.16</v>
      </c>
      <c r="J6" s="84">
        <f>2.87</f>
        <v>2.87</v>
      </c>
      <c r="K6" s="84">
        <f>4.12</f>
        <v>4.12</v>
      </c>
      <c r="L6" s="85">
        <f>((C6*D6*H6)+(C6*E6*I6)+(C6*F6*J6)+(C6*G6*K6))/100</f>
        <v>3.2666820800000007</v>
      </c>
      <c r="M6" s="84">
        <f>0.55</f>
        <v>0.55000000000000004</v>
      </c>
      <c r="N6" s="84">
        <f>0.73</f>
        <v>0.73</v>
      </c>
      <c r="O6" s="84">
        <f>0.95</f>
        <v>0.95</v>
      </c>
      <c r="P6" s="84">
        <f>2.24</f>
        <v>2.2400000000000002</v>
      </c>
      <c r="Q6" s="86">
        <f>((C6*D6*M6)+(C6*E6*N6)+(C6*F6*O6)+(C6*G6*P6))/1200</f>
        <v>0.14800501333333338</v>
      </c>
      <c r="R6" s="86">
        <f>Q6+((C6*G6/100)*((V$5-U$5)/12))</f>
        <v>0.16848785000000002</v>
      </c>
      <c r="S6" s="86">
        <f>Q6+((C6*G6/100)*((X$5-U$5)/12))</f>
        <v>0.25438361666666676</v>
      </c>
      <c r="T6" s="78"/>
      <c r="U6" s="175" t="s">
        <v>197</v>
      </c>
      <c r="V6" s="175"/>
    </row>
    <row r="7" spans="2:24">
      <c r="B7" s="174" t="s">
        <v>22</v>
      </c>
      <c r="C7" s="82">
        <f>VLOOKUP(B7,'Not Used'!U$8:V$42,2,FALSE)</f>
        <v>0.73960599999999999</v>
      </c>
      <c r="D7" s="83">
        <v>0</v>
      </c>
      <c r="E7" s="83">
        <v>0</v>
      </c>
      <c r="F7" s="83">
        <v>0</v>
      </c>
      <c r="G7" s="83">
        <v>100</v>
      </c>
      <c r="H7" s="84">
        <f t="shared" ref="H7:H37" si="0">1.54</f>
        <v>1.54</v>
      </c>
      <c r="I7" s="84">
        <f t="shared" ref="I7:I37" si="1">2.16</f>
        <v>2.16</v>
      </c>
      <c r="J7" s="84">
        <f t="shared" ref="J7:J37" si="2">2.87</f>
        <v>2.87</v>
      </c>
      <c r="K7" s="84">
        <f t="shared" ref="K7:K37" si="3">4.12</f>
        <v>4.12</v>
      </c>
      <c r="L7" s="85">
        <f t="shared" ref="L7:L34" si="4">((C7*D7*H7)+(C7*E7*I7)+(C7*F7*J7)+(C7*G7*K7))/100</f>
        <v>3.0471767199999999</v>
      </c>
      <c r="M7" s="84">
        <f t="shared" ref="M7:M37" si="5">0.55</f>
        <v>0.55000000000000004</v>
      </c>
      <c r="N7" s="84">
        <f t="shared" ref="N7:N37" si="6">0.73</f>
        <v>0.73</v>
      </c>
      <c r="O7" s="84">
        <f t="shared" ref="O7:O37" si="7">0.95</f>
        <v>0.95</v>
      </c>
      <c r="P7" s="84">
        <f t="shared" ref="P7:P37" si="8">2.24</f>
        <v>2.2400000000000002</v>
      </c>
      <c r="Q7" s="86">
        <f t="shared" ref="Q7:Q34" si="9">((C7*D7*M7)+(C7*E7*N7)+(C7*F7*O7)+(C7*G7*P7))/1200</f>
        <v>0.13805978666666668</v>
      </c>
      <c r="R7" s="86">
        <f t="shared" ref="R7:R22" si="10">Q7+((C7*G7/100)*((V$5-U$5)/12))</f>
        <v>0.15716627499999999</v>
      </c>
      <c r="S7" s="86">
        <f t="shared" ref="S7:S22" si="11">Q7+((C7*G7/100)*((X$5-U$5)/12))</f>
        <v>0.23729025833333334</v>
      </c>
    </row>
    <row r="8" spans="2:24">
      <c r="B8" s="174" t="s">
        <v>23</v>
      </c>
      <c r="C8" s="82">
        <f>VLOOKUP(B8,'Not Used'!U$8:V$42,2,FALSE)</f>
        <v>0.31398300000000001</v>
      </c>
      <c r="D8" s="83">
        <v>0</v>
      </c>
      <c r="E8" s="83">
        <v>0</v>
      </c>
      <c r="F8" s="83">
        <v>0</v>
      </c>
      <c r="G8" s="83">
        <v>100</v>
      </c>
      <c r="H8" s="84">
        <f t="shared" si="0"/>
        <v>1.54</v>
      </c>
      <c r="I8" s="84">
        <f t="shared" si="1"/>
        <v>2.16</v>
      </c>
      <c r="J8" s="84">
        <f t="shared" si="2"/>
        <v>2.87</v>
      </c>
      <c r="K8" s="84">
        <f t="shared" si="3"/>
        <v>4.12</v>
      </c>
      <c r="L8" s="85">
        <f t="shared" si="4"/>
        <v>1.2936099599999999</v>
      </c>
      <c r="M8" s="84">
        <f t="shared" si="5"/>
        <v>0.55000000000000004</v>
      </c>
      <c r="N8" s="84">
        <f t="shared" si="6"/>
        <v>0.73</v>
      </c>
      <c r="O8" s="84">
        <f t="shared" si="7"/>
        <v>0.95</v>
      </c>
      <c r="P8" s="84">
        <f t="shared" si="8"/>
        <v>2.2400000000000002</v>
      </c>
      <c r="Q8" s="86">
        <f t="shared" si="9"/>
        <v>5.8610160000000008E-2</v>
      </c>
      <c r="R8" s="86">
        <f t="shared" si="10"/>
        <v>6.6721387499999993E-2</v>
      </c>
      <c r="S8" s="86">
        <f t="shared" si="11"/>
        <v>0.10073621250000001</v>
      </c>
      <c r="T8" s="78"/>
    </row>
    <row r="9" spans="2:24">
      <c r="B9" s="174" t="s">
        <v>24</v>
      </c>
      <c r="C9" s="82">
        <f>VLOOKUP(B9,'Not Used'!U$8:V$42,2,FALSE)</f>
        <v>0.72142600000000001</v>
      </c>
      <c r="D9" s="83">
        <v>0</v>
      </c>
      <c r="E9" s="83">
        <v>0</v>
      </c>
      <c r="F9" s="83">
        <v>0</v>
      </c>
      <c r="G9" s="83">
        <v>100</v>
      </c>
      <c r="H9" s="84">
        <f t="shared" si="0"/>
        <v>1.54</v>
      </c>
      <c r="I9" s="84">
        <f t="shared" si="1"/>
        <v>2.16</v>
      </c>
      <c r="J9" s="84">
        <f t="shared" si="2"/>
        <v>2.87</v>
      </c>
      <c r="K9" s="84">
        <f t="shared" si="3"/>
        <v>4.12</v>
      </c>
      <c r="L9" s="85">
        <f t="shared" si="4"/>
        <v>2.9722751199999999</v>
      </c>
      <c r="M9" s="84">
        <f t="shared" si="5"/>
        <v>0.55000000000000004</v>
      </c>
      <c r="N9" s="84">
        <f t="shared" si="6"/>
        <v>0.73</v>
      </c>
      <c r="O9" s="84">
        <f t="shared" si="7"/>
        <v>0.95</v>
      </c>
      <c r="P9" s="84">
        <f t="shared" si="8"/>
        <v>2.2400000000000002</v>
      </c>
      <c r="Q9" s="86">
        <f t="shared" si="9"/>
        <v>0.13466618666666669</v>
      </c>
      <c r="R9" s="86">
        <f t="shared" si="10"/>
        <v>0.15330302500000001</v>
      </c>
      <c r="S9" s="86">
        <f t="shared" si="11"/>
        <v>0.23145750833333334</v>
      </c>
      <c r="T9" s="78"/>
    </row>
    <row r="10" spans="2:24">
      <c r="B10" s="174" t="s">
        <v>25</v>
      </c>
      <c r="C10" s="82">
        <f>VLOOKUP(B10,'Not Used'!U$8:V$42,2,FALSE)</f>
        <v>0.50716600000000001</v>
      </c>
      <c r="D10" s="83">
        <v>0</v>
      </c>
      <c r="E10" s="83">
        <v>0</v>
      </c>
      <c r="F10" s="83">
        <v>0</v>
      </c>
      <c r="G10" s="83">
        <v>100</v>
      </c>
      <c r="H10" s="84">
        <f t="shared" si="0"/>
        <v>1.54</v>
      </c>
      <c r="I10" s="84">
        <f t="shared" si="1"/>
        <v>2.16</v>
      </c>
      <c r="J10" s="84">
        <f t="shared" si="2"/>
        <v>2.87</v>
      </c>
      <c r="K10" s="84">
        <f t="shared" si="3"/>
        <v>4.12</v>
      </c>
      <c r="L10" s="85">
        <f t="shared" si="4"/>
        <v>2.08952392</v>
      </c>
      <c r="M10" s="84">
        <f t="shared" si="5"/>
        <v>0.55000000000000004</v>
      </c>
      <c r="N10" s="84">
        <f t="shared" si="6"/>
        <v>0.73</v>
      </c>
      <c r="O10" s="84">
        <f t="shared" si="7"/>
        <v>0.95</v>
      </c>
      <c r="P10" s="84">
        <f t="shared" si="8"/>
        <v>2.2400000000000002</v>
      </c>
      <c r="Q10" s="86">
        <f t="shared" si="9"/>
        <v>9.4670986666666679E-2</v>
      </c>
      <c r="R10" s="86">
        <f t="shared" si="10"/>
        <v>0.107772775</v>
      </c>
      <c r="S10" s="86">
        <f t="shared" si="11"/>
        <v>0.16271575833333335</v>
      </c>
      <c r="T10" s="78"/>
    </row>
    <row r="11" spans="2:24">
      <c r="B11" s="174" t="s">
        <v>26</v>
      </c>
      <c r="C11" s="82">
        <f>VLOOKUP(B11,'Not Used'!U$8:V$42,2,FALSE)</f>
        <v>0.52869500000000003</v>
      </c>
      <c r="D11" s="83">
        <v>0</v>
      </c>
      <c r="E11" s="83">
        <v>0</v>
      </c>
      <c r="F11" s="83">
        <v>0</v>
      </c>
      <c r="G11" s="83">
        <v>100</v>
      </c>
      <c r="H11" s="84">
        <f t="shared" si="0"/>
        <v>1.54</v>
      </c>
      <c r="I11" s="84">
        <f t="shared" si="1"/>
        <v>2.16</v>
      </c>
      <c r="J11" s="84">
        <f t="shared" si="2"/>
        <v>2.87</v>
      </c>
      <c r="K11" s="84">
        <f t="shared" si="3"/>
        <v>4.12</v>
      </c>
      <c r="L11" s="85">
        <f t="shared" si="4"/>
        <v>2.1782234000000003</v>
      </c>
      <c r="M11" s="84">
        <f t="shared" si="5"/>
        <v>0.55000000000000004</v>
      </c>
      <c r="N11" s="84">
        <f t="shared" si="6"/>
        <v>0.73</v>
      </c>
      <c r="O11" s="84">
        <f t="shared" si="7"/>
        <v>0.95</v>
      </c>
      <c r="P11" s="84">
        <f t="shared" si="8"/>
        <v>2.2400000000000002</v>
      </c>
      <c r="Q11" s="86">
        <f t="shared" si="9"/>
        <v>9.8689733333333335E-2</v>
      </c>
      <c r="R11" s="86">
        <f t="shared" si="10"/>
        <v>0.11234768749999999</v>
      </c>
      <c r="S11" s="86">
        <f t="shared" si="11"/>
        <v>0.16962297916666666</v>
      </c>
      <c r="T11" s="78"/>
      <c r="W11" s="88"/>
      <c r="X11" s="88"/>
    </row>
    <row r="12" spans="2:24">
      <c r="B12" s="174" t="s">
        <v>27</v>
      </c>
      <c r="C12" s="82">
        <f>VLOOKUP(B12,'Not Used'!U$8:V$42,2,FALSE)</f>
        <v>0.46362100000000001</v>
      </c>
      <c r="D12" s="83">
        <v>0</v>
      </c>
      <c r="E12" s="83">
        <v>0</v>
      </c>
      <c r="F12" s="83">
        <v>0</v>
      </c>
      <c r="G12" s="83">
        <v>100</v>
      </c>
      <c r="H12" s="84">
        <f t="shared" si="0"/>
        <v>1.54</v>
      </c>
      <c r="I12" s="84">
        <f t="shared" si="1"/>
        <v>2.16</v>
      </c>
      <c r="J12" s="84">
        <f t="shared" si="2"/>
        <v>2.87</v>
      </c>
      <c r="K12" s="84">
        <f t="shared" si="3"/>
        <v>4.12</v>
      </c>
      <c r="L12" s="85">
        <f t="shared" si="4"/>
        <v>1.9101185200000002</v>
      </c>
      <c r="M12" s="84">
        <f t="shared" si="5"/>
        <v>0.55000000000000004</v>
      </c>
      <c r="N12" s="84">
        <f t="shared" si="6"/>
        <v>0.73</v>
      </c>
      <c r="O12" s="84">
        <f t="shared" si="7"/>
        <v>0.95</v>
      </c>
      <c r="P12" s="84">
        <f t="shared" si="8"/>
        <v>2.2400000000000002</v>
      </c>
      <c r="Q12" s="86">
        <f t="shared" si="9"/>
        <v>8.6542586666666671E-2</v>
      </c>
      <c r="R12" s="86">
        <f t="shared" si="10"/>
        <v>9.8519462499999988E-2</v>
      </c>
      <c r="S12" s="86">
        <f t="shared" si="11"/>
        <v>0.14874507083333333</v>
      </c>
      <c r="T12" s="78"/>
    </row>
    <row r="13" spans="2:24">
      <c r="B13" s="174" t="s">
        <v>28</v>
      </c>
      <c r="C13" s="82">
        <f>VLOOKUP(B13,'Not Used'!U$8:V$42,2,FALSE)</f>
        <v>0.73328499999999996</v>
      </c>
      <c r="D13" s="83">
        <v>0</v>
      </c>
      <c r="E13" s="83">
        <v>0</v>
      </c>
      <c r="F13" s="83">
        <v>0</v>
      </c>
      <c r="G13" s="83">
        <v>100</v>
      </c>
      <c r="H13" s="84">
        <f t="shared" si="0"/>
        <v>1.54</v>
      </c>
      <c r="I13" s="84">
        <f t="shared" si="1"/>
        <v>2.16</v>
      </c>
      <c r="J13" s="84">
        <f t="shared" si="2"/>
        <v>2.87</v>
      </c>
      <c r="K13" s="84">
        <f t="shared" si="3"/>
        <v>4.12</v>
      </c>
      <c r="L13" s="85">
        <f t="shared" si="4"/>
        <v>3.0211341999999997</v>
      </c>
      <c r="M13" s="84">
        <f t="shared" si="5"/>
        <v>0.55000000000000004</v>
      </c>
      <c r="N13" s="84">
        <f t="shared" si="6"/>
        <v>0.73</v>
      </c>
      <c r="O13" s="84">
        <f t="shared" si="7"/>
        <v>0.95</v>
      </c>
      <c r="P13" s="84">
        <f t="shared" si="8"/>
        <v>2.2400000000000002</v>
      </c>
      <c r="Q13" s="86">
        <f t="shared" si="9"/>
        <v>0.13687986666666668</v>
      </c>
      <c r="R13" s="86">
        <f t="shared" si="10"/>
        <v>0.1558230625</v>
      </c>
      <c r="S13" s="86">
        <f t="shared" si="11"/>
        <v>0.23526227083333334</v>
      </c>
      <c r="T13" s="78"/>
      <c r="W13" s="88"/>
      <c r="X13" s="88"/>
    </row>
    <row r="14" spans="2:24">
      <c r="B14" s="174" t="s">
        <v>29</v>
      </c>
      <c r="C14" s="82">
        <f>VLOOKUP(B14,'Not Used'!U$8:V$42,2,FALSE)</f>
        <v>0.70745800000000003</v>
      </c>
      <c r="D14" s="83">
        <v>0</v>
      </c>
      <c r="E14" s="83">
        <v>0</v>
      </c>
      <c r="F14" s="83">
        <v>0</v>
      </c>
      <c r="G14" s="83">
        <v>100</v>
      </c>
      <c r="H14" s="84">
        <f t="shared" si="0"/>
        <v>1.54</v>
      </c>
      <c r="I14" s="84">
        <f t="shared" si="1"/>
        <v>2.16</v>
      </c>
      <c r="J14" s="84">
        <f t="shared" si="2"/>
        <v>2.87</v>
      </c>
      <c r="K14" s="84">
        <f t="shared" si="3"/>
        <v>4.12</v>
      </c>
      <c r="L14" s="85">
        <f t="shared" si="4"/>
        <v>2.9147269600000003</v>
      </c>
      <c r="M14" s="84">
        <f t="shared" si="5"/>
        <v>0.55000000000000004</v>
      </c>
      <c r="N14" s="84">
        <f t="shared" si="6"/>
        <v>0.73</v>
      </c>
      <c r="O14" s="84">
        <f t="shared" si="7"/>
        <v>0.95</v>
      </c>
      <c r="P14" s="84">
        <f t="shared" si="8"/>
        <v>2.2400000000000002</v>
      </c>
      <c r="Q14" s="86">
        <f t="shared" si="9"/>
        <v>0.13205882666666668</v>
      </c>
      <c r="R14" s="86">
        <f t="shared" si="10"/>
        <v>0.15033482500000001</v>
      </c>
      <c r="S14" s="86">
        <f t="shared" si="11"/>
        <v>0.22697610833333334</v>
      </c>
      <c r="T14" s="78"/>
    </row>
    <row r="15" spans="2:24" ht="15">
      <c r="B15" s="3" t="s">
        <v>176</v>
      </c>
      <c r="C15" s="4">
        <v>0.104856</v>
      </c>
      <c r="D15" s="83">
        <v>0</v>
      </c>
      <c r="E15" s="83">
        <v>0</v>
      </c>
      <c r="F15" s="83">
        <v>0</v>
      </c>
      <c r="G15" s="83">
        <v>100</v>
      </c>
      <c r="H15" s="84">
        <f t="shared" si="0"/>
        <v>1.54</v>
      </c>
      <c r="I15" s="84">
        <f t="shared" si="1"/>
        <v>2.16</v>
      </c>
      <c r="J15" s="84">
        <f t="shared" si="2"/>
        <v>2.87</v>
      </c>
      <c r="K15" s="84">
        <f t="shared" si="3"/>
        <v>4.12</v>
      </c>
      <c r="L15" s="85">
        <f t="shared" si="4"/>
        <v>0.43200671999999996</v>
      </c>
      <c r="M15" s="84">
        <f t="shared" si="5"/>
        <v>0.55000000000000004</v>
      </c>
      <c r="N15" s="84">
        <f t="shared" si="6"/>
        <v>0.73</v>
      </c>
      <c r="O15" s="84">
        <f t="shared" si="7"/>
        <v>0.95</v>
      </c>
      <c r="P15" s="84">
        <f t="shared" si="8"/>
        <v>2.2400000000000002</v>
      </c>
      <c r="Q15" s="86">
        <f t="shared" si="9"/>
        <v>1.9573120000000003E-2</v>
      </c>
      <c r="R15" s="86">
        <f t="shared" si="10"/>
        <v>2.22819E-2</v>
      </c>
      <c r="S15" s="86">
        <f t="shared" si="11"/>
        <v>3.3641299999999999E-2</v>
      </c>
      <c r="T15" s="78"/>
    </row>
    <row r="16" spans="2:24" ht="15">
      <c r="B16" s="3" t="s">
        <v>177</v>
      </c>
      <c r="C16" s="4">
        <v>0.33191900000000002</v>
      </c>
      <c r="D16" s="83">
        <v>0</v>
      </c>
      <c r="E16" s="83">
        <v>0</v>
      </c>
      <c r="F16" s="83">
        <v>0</v>
      </c>
      <c r="G16" s="83">
        <v>100</v>
      </c>
      <c r="H16" s="84">
        <f t="shared" si="0"/>
        <v>1.54</v>
      </c>
      <c r="I16" s="84">
        <f t="shared" si="1"/>
        <v>2.16</v>
      </c>
      <c r="J16" s="84">
        <f t="shared" si="2"/>
        <v>2.87</v>
      </c>
      <c r="K16" s="84">
        <f t="shared" si="3"/>
        <v>4.12</v>
      </c>
      <c r="L16" s="85">
        <f t="shared" si="4"/>
        <v>1.36750628</v>
      </c>
      <c r="M16" s="84">
        <f t="shared" si="5"/>
        <v>0.55000000000000004</v>
      </c>
      <c r="N16" s="84">
        <f t="shared" si="6"/>
        <v>0.73</v>
      </c>
      <c r="O16" s="84">
        <f t="shared" si="7"/>
        <v>0.95</v>
      </c>
      <c r="P16" s="84">
        <f t="shared" si="8"/>
        <v>2.2400000000000002</v>
      </c>
      <c r="Q16" s="86">
        <f t="shared" si="9"/>
        <v>6.1958213333333345E-2</v>
      </c>
      <c r="R16" s="86">
        <f t="shared" si="10"/>
        <v>7.0532787499999999E-2</v>
      </c>
      <c r="S16" s="86">
        <f t="shared" si="11"/>
        <v>0.10649067916666669</v>
      </c>
      <c r="T16" s="78"/>
    </row>
    <row r="17" spans="1:25 16377:16377" ht="15">
      <c r="B17" s="3" t="s">
        <v>178</v>
      </c>
      <c r="C17" s="4">
        <v>0.24190700000000001</v>
      </c>
      <c r="D17" s="83">
        <v>0</v>
      </c>
      <c r="E17" s="83">
        <v>0</v>
      </c>
      <c r="F17" s="83">
        <v>0</v>
      </c>
      <c r="G17" s="83">
        <v>100</v>
      </c>
      <c r="H17" s="84">
        <f t="shared" si="0"/>
        <v>1.54</v>
      </c>
      <c r="I17" s="84">
        <f t="shared" si="1"/>
        <v>2.16</v>
      </c>
      <c r="J17" s="84">
        <f t="shared" si="2"/>
        <v>2.87</v>
      </c>
      <c r="K17" s="84">
        <f t="shared" si="3"/>
        <v>4.12</v>
      </c>
      <c r="L17" s="85">
        <f t="shared" si="4"/>
        <v>0.99665683999999999</v>
      </c>
      <c r="M17" s="84">
        <f t="shared" si="5"/>
        <v>0.55000000000000004</v>
      </c>
      <c r="N17" s="84">
        <f t="shared" si="6"/>
        <v>0.73</v>
      </c>
      <c r="O17" s="84">
        <f t="shared" si="7"/>
        <v>0.95</v>
      </c>
      <c r="P17" s="84">
        <f t="shared" si="8"/>
        <v>2.2400000000000002</v>
      </c>
      <c r="Q17" s="86">
        <f t="shared" si="9"/>
        <v>4.5155973333333342E-2</v>
      </c>
      <c r="R17" s="86">
        <f t="shared" si="10"/>
        <v>5.1405237499999999E-2</v>
      </c>
      <c r="S17" s="86">
        <f t="shared" si="11"/>
        <v>7.7611829166666674E-2</v>
      </c>
      <c r="T17" s="78"/>
    </row>
    <row r="18" spans="1:25 16377:16377" ht="15">
      <c r="B18" s="3" t="s">
        <v>179</v>
      </c>
      <c r="C18" s="4">
        <v>0.44311</v>
      </c>
      <c r="D18" s="83">
        <v>0</v>
      </c>
      <c r="E18" s="83">
        <v>0</v>
      </c>
      <c r="F18" s="83">
        <v>0</v>
      </c>
      <c r="G18" s="83">
        <v>100</v>
      </c>
      <c r="H18" s="84">
        <f t="shared" si="0"/>
        <v>1.54</v>
      </c>
      <c r="I18" s="84">
        <f t="shared" si="1"/>
        <v>2.16</v>
      </c>
      <c r="J18" s="84">
        <f t="shared" si="2"/>
        <v>2.87</v>
      </c>
      <c r="K18" s="84">
        <f t="shared" si="3"/>
        <v>4.12</v>
      </c>
      <c r="L18" s="85">
        <f t="shared" si="4"/>
        <v>1.8256132</v>
      </c>
      <c r="M18" s="84">
        <f t="shared" si="5"/>
        <v>0.55000000000000004</v>
      </c>
      <c r="N18" s="84">
        <f t="shared" si="6"/>
        <v>0.73</v>
      </c>
      <c r="O18" s="84">
        <f t="shared" si="7"/>
        <v>0.95</v>
      </c>
      <c r="P18" s="84">
        <f t="shared" si="8"/>
        <v>2.2400000000000002</v>
      </c>
      <c r="Q18" s="86">
        <f t="shared" si="9"/>
        <v>8.2713866666666677E-2</v>
      </c>
      <c r="R18" s="86">
        <f t="shared" si="10"/>
        <v>9.4160874999999991E-2</v>
      </c>
      <c r="S18" s="86">
        <f t="shared" si="11"/>
        <v>0.14216445833333335</v>
      </c>
      <c r="T18" s="78"/>
    </row>
    <row r="19" spans="1:25 16377:16377" ht="15">
      <c r="B19" s="3" t="s">
        <v>180</v>
      </c>
      <c r="C19" s="4">
        <v>0.27080300000000002</v>
      </c>
      <c r="D19" s="83">
        <v>0</v>
      </c>
      <c r="E19" s="83">
        <v>0</v>
      </c>
      <c r="F19" s="83">
        <v>0</v>
      </c>
      <c r="G19" s="83">
        <v>100</v>
      </c>
      <c r="H19" s="84">
        <f t="shared" si="0"/>
        <v>1.54</v>
      </c>
      <c r="I19" s="84">
        <f t="shared" si="1"/>
        <v>2.16</v>
      </c>
      <c r="J19" s="84">
        <f t="shared" si="2"/>
        <v>2.87</v>
      </c>
      <c r="K19" s="84">
        <f t="shared" si="3"/>
        <v>4.12</v>
      </c>
      <c r="L19" s="85">
        <f t="shared" si="4"/>
        <v>1.1157083600000002</v>
      </c>
      <c r="M19" s="84">
        <f t="shared" si="5"/>
        <v>0.55000000000000004</v>
      </c>
      <c r="N19" s="84">
        <f t="shared" si="6"/>
        <v>0.73</v>
      </c>
      <c r="O19" s="84">
        <f t="shared" si="7"/>
        <v>0.95</v>
      </c>
      <c r="P19" s="84">
        <f t="shared" si="8"/>
        <v>2.2400000000000002</v>
      </c>
      <c r="Q19" s="86">
        <f t="shared" si="9"/>
        <v>5.0549893333333339E-2</v>
      </c>
      <c r="R19" s="86">
        <f t="shared" si="10"/>
        <v>5.7545637499999996E-2</v>
      </c>
      <c r="S19" s="86">
        <f t="shared" si="11"/>
        <v>8.6882629166666669E-2</v>
      </c>
      <c r="T19" s="78"/>
    </row>
    <row r="20" spans="1:25 16377:16377" ht="15">
      <c r="B20" s="3" t="s">
        <v>181</v>
      </c>
      <c r="C20" s="4">
        <v>9.9219000000000002E-2</v>
      </c>
      <c r="D20" s="83">
        <v>0</v>
      </c>
      <c r="E20" s="83">
        <v>0</v>
      </c>
      <c r="F20" s="83">
        <v>0</v>
      </c>
      <c r="G20" s="83">
        <v>100</v>
      </c>
      <c r="H20" s="84">
        <f t="shared" si="0"/>
        <v>1.54</v>
      </c>
      <c r="I20" s="84">
        <f t="shared" si="1"/>
        <v>2.16</v>
      </c>
      <c r="J20" s="84">
        <f t="shared" si="2"/>
        <v>2.87</v>
      </c>
      <c r="K20" s="84">
        <f t="shared" si="3"/>
        <v>4.12</v>
      </c>
      <c r="L20" s="85">
        <f t="shared" si="4"/>
        <v>0.40878228000000005</v>
      </c>
      <c r="M20" s="84">
        <f t="shared" si="5"/>
        <v>0.55000000000000004</v>
      </c>
      <c r="N20" s="84">
        <f t="shared" si="6"/>
        <v>0.73</v>
      </c>
      <c r="O20" s="84">
        <f t="shared" si="7"/>
        <v>0.95</v>
      </c>
      <c r="P20" s="84">
        <f t="shared" si="8"/>
        <v>2.2400000000000002</v>
      </c>
      <c r="Q20" s="86">
        <f t="shared" si="9"/>
        <v>1.8520880000000003E-2</v>
      </c>
      <c r="R20" s="86">
        <f t="shared" si="10"/>
        <v>2.10840375E-2</v>
      </c>
      <c r="S20" s="86">
        <f t="shared" si="11"/>
        <v>3.18327625E-2</v>
      </c>
      <c r="T20" s="78"/>
    </row>
    <row r="21" spans="1:25 16377:16377" ht="15">
      <c r="B21" s="3" t="s">
        <v>182</v>
      </c>
      <c r="C21" s="4">
        <v>0.29681800000000003</v>
      </c>
      <c r="D21" s="83">
        <v>0</v>
      </c>
      <c r="E21" s="83">
        <v>0</v>
      </c>
      <c r="F21" s="83">
        <v>0</v>
      </c>
      <c r="G21" s="83">
        <v>100</v>
      </c>
      <c r="H21" s="84">
        <f t="shared" si="0"/>
        <v>1.54</v>
      </c>
      <c r="I21" s="84">
        <f t="shared" si="1"/>
        <v>2.16</v>
      </c>
      <c r="J21" s="84">
        <f t="shared" si="2"/>
        <v>2.87</v>
      </c>
      <c r="K21" s="84">
        <f t="shared" si="3"/>
        <v>4.12</v>
      </c>
      <c r="L21" s="85">
        <f t="shared" si="4"/>
        <v>1.2228901600000002</v>
      </c>
      <c r="M21" s="84">
        <f t="shared" si="5"/>
        <v>0.55000000000000004</v>
      </c>
      <c r="N21" s="84">
        <f t="shared" si="6"/>
        <v>0.73</v>
      </c>
      <c r="O21" s="84">
        <f t="shared" si="7"/>
        <v>0.95</v>
      </c>
      <c r="P21" s="84">
        <f t="shared" si="8"/>
        <v>2.2400000000000002</v>
      </c>
      <c r="Q21" s="86">
        <f t="shared" si="9"/>
        <v>5.540602666666667E-2</v>
      </c>
      <c r="R21" s="86">
        <f t="shared" si="10"/>
        <v>6.3073825E-2</v>
      </c>
      <c r="S21" s="86">
        <f t="shared" si="11"/>
        <v>9.522910833333334E-2</v>
      </c>
      <c r="T21" s="78"/>
    </row>
    <row r="22" spans="1:25 16377:16377" ht="15">
      <c r="B22" s="3" t="s">
        <v>183</v>
      </c>
      <c r="C22" s="4">
        <v>0.28165200000000001</v>
      </c>
      <c r="D22" s="83">
        <v>0</v>
      </c>
      <c r="E22" s="83">
        <v>0</v>
      </c>
      <c r="F22" s="83">
        <v>0</v>
      </c>
      <c r="G22" s="83">
        <v>100</v>
      </c>
      <c r="H22" s="84">
        <f t="shared" si="0"/>
        <v>1.54</v>
      </c>
      <c r="I22" s="84">
        <f t="shared" si="1"/>
        <v>2.16</v>
      </c>
      <c r="J22" s="84">
        <f t="shared" si="2"/>
        <v>2.87</v>
      </c>
      <c r="K22" s="84">
        <f t="shared" si="3"/>
        <v>4.12</v>
      </c>
      <c r="L22" s="85">
        <f t="shared" si="4"/>
        <v>1.1604062400000001</v>
      </c>
      <c r="M22" s="84">
        <f t="shared" si="5"/>
        <v>0.55000000000000004</v>
      </c>
      <c r="N22" s="84">
        <f t="shared" si="6"/>
        <v>0.73</v>
      </c>
      <c r="O22" s="84">
        <f t="shared" si="7"/>
        <v>0.95</v>
      </c>
      <c r="P22" s="84">
        <f t="shared" si="8"/>
        <v>2.2400000000000002</v>
      </c>
      <c r="Q22" s="86">
        <f t="shared" si="9"/>
        <v>5.257504000000001E-2</v>
      </c>
      <c r="R22" s="86">
        <f t="shared" si="10"/>
        <v>5.9851050000000003E-2</v>
      </c>
      <c r="S22" s="86">
        <f t="shared" si="11"/>
        <v>9.0363350000000009E-2</v>
      </c>
      <c r="T22" s="78"/>
    </row>
    <row r="23" spans="1:25 16377:16377" ht="24.95" customHeight="1">
      <c r="B23" s="214" t="s">
        <v>0</v>
      </c>
      <c r="C23" s="208" t="s">
        <v>1</v>
      </c>
      <c r="D23" s="207" t="s">
        <v>2</v>
      </c>
      <c r="E23" s="207"/>
      <c r="F23" s="207"/>
      <c r="G23" s="207"/>
      <c r="H23" s="207" t="s">
        <v>3</v>
      </c>
      <c r="I23" s="207"/>
      <c r="J23" s="207"/>
      <c r="K23" s="207"/>
      <c r="L23" s="208" t="s">
        <v>4</v>
      </c>
      <c r="M23" s="207" t="s">
        <v>5</v>
      </c>
      <c r="N23" s="209"/>
      <c r="O23" s="209"/>
      <c r="P23" s="209"/>
      <c r="Q23" s="206" t="s">
        <v>6</v>
      </c>
      <c r="R23" s="206" t="s">
        <v>7</v>
      </c>
      <c r="S23" s="206" t="s">
        <v>8</v>
      </c>
      <c r="T23" s="78"/>
    </row>
    <row r="24" spans="1:25 16377:16377" ht="25.5">
      <c r="B24" s="214"/>
      <c r="C24" s="208"/>
      <c r="D24" s="173" t="s">
        <v>9</v>
      </c>
      <c r="E24" s="173" t="s">
        <v>10</v>
      </c>
      <c r="F24" s="172" t="s">
        <v>11</v>
      </c>
      <c r="G24" s="172" t="s">
        <v>12</v>
      </c>
      <c r="H24" s="173" t="s">
        <v>13</v>
      </c>
      <c r="I24" s="173" t="s">
        <v>14</v>
      </c>
      <c r="J24" s="173" t="s">
        <v>15</v>
      </c>
      <c r="K24" s="173" t="s">
        <v>16</v>
      </c>
      <c r="L24" s="208"/>
      <c r="M24" s="173" t="s">
        <v>17</v>
      </c>
      <c r="N24" s="173" t="s">
        <v>18</v>
      </c>
      <c r="O24" s="173" t="s">
        <v>19</v>
      </c>
      <c r="P24" s="173" t="s">
        <v>20</v>
      </c>
      <c r="Q24" s="206"/>
      <c r="R24" s="206"/>
      <c r="S24" s="206"/>
      <c r="T24" s="78"/>
    </row>
    <row r="25" spans="1:25 16377:16377">
      <c r="B25" s="210" t="s">
        <v>195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2"/>
      <c r="T25" s="78"/>
    </row>
    <row r="26" spans="1:25 16377:16377" ht="15">
      <c r="B26" s="169" t="s">
        <v>188</v>
      </c>
      <c r="C26" s="170">
        <v>1.3215239999999999</v>
      </c>
      <c r="D26" s="83">
        <v>0</v>
      </c>
      <c r="E26" s="83">
        <v>15</v>
      </c>
      <c r="F26" s="83">
        <v>15</v>
      </c>
      <c r="G26" s="83">
        <v>70</v>
      </c>
      <c r="H26" s="84">
        <f t="shared" si="0"/>
        <v>1.54</v>
      </c>
      <c r="I26" s="84">
        <f t="shared" si="1"/>
        <v>2.16</v>
      </c>
      <c r="J26" s="84">
        <f t="shared" si="2"/>
        <v>2.87</v>
      </c>
      <c r="K26" s="84">
        <f t="shared" si="3"/>
        <v>4.12</v>
      </c>
      <c r="L26" s="85">
        <f t="shared" si="4"/>
        <v>4.8083650739999992</v>
      </c>
      <c r="M26" s="84">
        <f t="shared" si="5"/>
        <v>0.55000000000000004</v>
      </c>
      <c r="N26" s="84">
        <f t="shared" si="6"/>
        <v>0.73</v>
      </c>
      <c r="O26" s="84">
        <f t="shared" si="7"/>
        <v>0.95</v>
      </c>
      <c r="P26" s="84">
        <f t="shared" si="8"/>
        <v>2.2400000000000002</v>
      </c>
      <c r="Q26" s="86">
        <f t="shared" si="9"/>
        <v>0.20043114000000001</v>
      </c>
      <c r="R26" s="86">
        <f t="shared" ref="R26" si="12">Q26+((C26*G26/100)*((V$5-U$5)/12))</f>
        <v>0.22432869899999996</v>
      </c>
      <c r="S26" s="86">
        <f t="shared" ref="S26" si="13">Q26+((C26*G26/100)*((X$5-U$5)/12))</f>
        <v>0.324544269</v>
      </c>
      <c r="T26" s="78"/>
    </row>
    <row r="27" spans="1:25 16377:16377" ht="15">
      <c r="B27" s="169" t="s">
        <v>191</v>
      </c>
      <c r="C27" s="170">
        <v>2.6756540000000002</v>
      </c>
      <c r="D27" s="83">
        <v>0</v>
      </c>
      <c r="E27" s="83">
        <v>15</v>
      </c>
      <c r="F27" s="83">
        <v>15</v>
      </c>
      <c r="G27" s="83">
        <v>70</v>
      </c>
      <c r="H27" s="84">
        <f t="shared" si="0"/>
        <v>1.54</v>
      </c>
      <c r="I27" s="84">
        <f t="shared" si="1"/>
        <v>2.16</v>
      </c>
      <c r="J27" s="84">
        <f t="shared" si="2"/>
        <v>2.87</v>
      </c>
      <c r="K27" s="84">
        <f t="shared" si="3"/>
        <v>4.12</v>
      </c>
      <c r="L27" s="85">
        <f t="shared" si="4"/>
        <v>9.7353670790000013</v>
      </c>
      <c r="M27" s="84">
        <f t="shared" si="5"/>
        <v>0.55000000000000004</v>
      </c>
      <c r="N27" s="84">
        <f t="shared" si="6"/>
        <v>0.73</v>
      </c>
      <c r="O27" s="84">
        <f t="shared" si="7"/>
        <v>0.95</v>
      </c>
      <c r="P27" s="84">
        <f t="shared" si="8"/>
        <v>2.2400000000000002</v>
      </c>
      <c r="Q27" s="86">
        <f t="shared" si="9"/>
        <v>0.40580752333333342</v>
      </c>
      <c r="R27" s="86">
        <f t="shared" ref="R27:R37" si="14">Q27+((C27*G27/100)*((V$5-U$5)/12))</f>
        <v>0.4541922665</v>
      </c>
      <c r="S27" s="86">
        <f t="shared" ref="S27:S37" si="15">Q27+((C27*G27/100)*((X$5-U$5)/12))</f>
        <v>0.65709602816666668</v>
      </c>
      <c r="T27" s="78"/>
      <c r="W27" s="88"/>
      <c r="Y27" s="89"/>
    </row>
    <row r="28" spans="1:25 16377:16377" ht="15">
      <c r="B28" s="169" t="s">
        <v>190</v>
      </c>
      <c r="C28" s="170">
        <v>2.597553</v>
      </c>
      <c r="D28" s="83">
        <v>0</v>
      </c>
      <c r="E28" s="83">
        <v>15</v>
      </c>
      <c r="F28" s="83">
        <v>15</v>
      </c>
      <c r="G28" s="83">
        <v>70</v>
      </c>
      <c r="H28" s="84">
        <f t="shared" si="0"/>
        <v>1.54</v>
      </c>
      <c r="I28" s="84">
        <f t="shared" si="1"/>
        <v>2.16</v>
      </c>
      <c r="J28" s="84">
        <f t="shared" si="2"/>
        <v>2.87</v>
      </c>
      <c r="K28" s="84">
        <f t="shared" si="3"/>
        <v>4.12</v>
      </c>
      <c r="L28" s="85">
        <f t="shared" ref="L28" si="16">((C28*D28*H28)+(C28*E28*I28)+(C28*F28*J28)+(C28*G28*K28))/100</f>
        <v>9.4511965905000004</v>
      </c>
      <c r="M28" s="84">
        <f t="shared" si="5"/>
        <v>0.55000000000000004</v>
      </c>
      <c r="N28" s="84">
        <f t="shared" si="6"/>
        <v>0.73</v>
      </c>
      <c r="O28" s="84">
        <f t="shared" si="7"/>
        <v>0.95</v>
      </c>
      <c r="P28" s="84">
        <f t="shared" si="8"/>
        <v>2.2400000000000002</v>
      </c>
      <c r="Q28" s="86">
        <f t="shared" ref="Q28" si="17">((C28*D28*M28)+(C28*E28*N28)+(C28*F28*O28)+(C28*G28*P28))/1200</f>
        <v>0.39396220500000001</v>
      </c>
      <c r="R28" s="86">
        <f t="shared" si="14"/>
        <v>0.44093462174999998</v>
      </c>
      <c r="S28" s="86">
        <f t="shared" si="15"/>
        <v>0.63791572424999998</v>
      </c>
      <c r="T28" s="78"/>
    </row>
    <row r="29" spans="1:25 16377:16377" ht="15">
      <c r="B29" s="169" t="s">
        <v>165</v>
      </c>
      <c r="C29" s="170">
        <v>0.65142500000000003</v>
      </c>
      <c r="D29" s="83">
        <v>0</v>
      </c>
      <c r="E29" s="83">
        <v>15</v>
      </c>
      <c r="F29" s="83">
        <v>15</v>
      </c>
      <c r="G29" s="83">
        <v>70</v>
      </c>
      <c r="H29" s="84">
        <f t="shared" si="0"/>
        <v>1.54</v>
      </c>
      <c r="I29" s="84">
        <f t="shared" si="1"/>
        <v>2.16</v>
      </c>
      <c r="J29" s="84">
        <f t="shared" si="2"/>
        <v>2.87</v>
      </c>
      <c r="K29" s="84">
        <f t="shared" si="3"/>
        <v>4.12</v>
      </c>
      <c r="L29" s="85">
        <f t="shared" si="4"/>
        <v>2.3702098625000003</v>
      </c>
      <c r="M29" s="84">
        <f t="shared" si="5"/>
        <v>0.55000000000000004</v>
      </c>
      <c r="N29" s="84">
        <f t="shared" si="6"/>
        <v>0.73</v>
      </c>
      <c r="O29" s="84">
        <f t="shared" si="7"/>
        <v>0.95</v>
      </c>
      <c r="P29" s="84">
        <f t="shared" si="8"/>
        <v>2.2400000000000002</v>
      </c>
      <c r="Q29" s="86">
        <f t="shared" si="9"/>
        <v>9.879945833333334E-2</v>
      </c>
      <c r="R29" s="86">
        <f t="shared" si="14"/>
        <v>0.11057939374999999</v>
      </c>
      <c r="S29" s="86">
        <f t="shared" si="15"/>
        <v>0.15997912291666666</v>
      </c>
      <c r="T29" s="78"/>
    </row>
    <row r="30" spans="1:25 16377:16377" ht="15">
      <c r="B30" s="169" t="s">
        <v>166</v>
      </c>
      <c r="C30" s="170">
        <v>0.86971100000000001</v>
      </c>
      <c r="D30" s="83">
        <v>0</v>
      </c>
      <c r="E30" s="83">
        <v>15</v>
      </c>
      <c r="F30" s="83">
        <v>15</v>
      </c>
      <c r="G30" s="83">
        <v>70</v>
      </c>
      <c r="H30" s="84">
        <f t="shared" si="0"/>
        <v>1.54</v>
      </c>
      <c r="I30" s="84">
        <f t="shared" si="1"/>
        <v>2.16</v>
      </c>
      <c r="J30" s="84">
        <f t="shared" si="2"/>
        <v>2.87</v>
      </c>
      <c r="K30" s="84">
        <f t="shared" si="3"/>
        <v>4.12</v>
      </c>
      <c r="L30" s="85">
        <f t="shared" si="4"/>
        <v>3.1644434735000004</v>
      </c>
      <c r="M30" s="84">
        <f t="shared" si="5"/>
        <v>0.55000000000000004</v>
      </c>
      <c r="N30" s="84">
        <f t="shared" si="6"/>
        <v>0.73</v>
      </c>
      <c r="O30" s="84">
        <f t="shared" si="7"/>
        <v>0.95</v>
      </c>
      <c r="P30" s="84">
        <f t="shared" si="8"/>
        <v>2.2400000000000002</v>
      </c>
      <c r="Q30" s="86">
        <f t="shared" si="9"/>
        <v>0.13190616833333335</v>
      </c>
      <c r="R30" s="86">
        <f t="shared" si="14"/>
        <v>0.14763344225</v>
      </c>
      <c r="S30" s="86">
        <f t="shared" si="15"/>
        <v>0.21358652641666667</v>
      </c>
      <c r="T30" s="78"/>
      <c r="W30" s="88"/>
      <c r="Y30" s="89"/>
      <c r="XEW30" s="78">
        <f>SUM(A30:XEV30)</f>
        <v>119.6872806105</v>
      </c>
    </row>
    <row r="31" spans="1:25 16377:16377" ht="15">
      <c r="A31" s="89"/>
      <c r="B31" s="169" t="s">
        <v>167</v>
      </c>
      <c r="C31" s="170">
        <v>1.0331939999999999</v>
      </c>
      <c r="D31" s="83">
        <v>0</v>
      </c>
      <c r="E31" s="83">
        <v>15</v>
      </c>
      <c r="F31" s="83">
        <v>15</v>
      </c>
      <c r="G31" s="83">
        <v>70</v>
      </c>
      <c r="H31" s="84">
        <f t="shared" si="0"/>
        <v>1.54</v>
      </c>
      <c r="I31" s="84">
        <f t="shared" si="1"/>
        <v>2.16</v>
      </c>
      <c r="J31" s="84">
        <f t="shared" si="2"/>
        <v>2.87</v>
      </c>
      <c r="K31" s="84">
        <f t="shared" si="3"/>
        <v>4.12</v>
      </c>
      <c r="L31" s="85">
        <f t="shared" si="4"/>
        <v>3.7592763689999997</v>
      </c>
      <c r="M31" s="84">
        <f t="shared" si="5"/>
        <v>0.55000000000000004</v>
      </c>
      <c r="N31" s="84">
        <f t="shared" si="6"/>
        <v>0.73</v>
      </c>
      <c r="O31" s="84">
        <f t="shared" si="7"/>
        <v>0.95</v>
      </c>
      <c r="P31" s="84">
        <f t="shared" si="8"/>
        <v>2.2400000000000002</v>
      </c>
      <c r="Q31" s="86">
        <f t="shared" si="9"/>
        <v>0.15670108999999999</v>
      </c>
      <c r="R31" s="86">
        <f t="shared" si="14"/>
        <v>0.17538468149999997</v>
      </c>
      <c r="S31" s="86">
        <f t="shared" si="15"/>
        <v>0.25373522649999997</v>
      </c>
      <c r="T31" s="78"/>
    </row>
    <row r="32" spans="1:25 16377:16377" ht="15">
      <c r="A32" s="89"/>
      <c r="B32" s="169" t="s">
        <v>168</v>
      </c>
      <c r="C32" s="170">
        <v>1.360743</v>
      </c>
      <c r="D32" s="83">
        <v>0</v>
      </c>
      <c r="E32" s="83">
        <v>15</v>
      </c>
      <c r="F32" s="83">
        <v>15</v>
      </c>
      <c r="G32" s="83">
        <v>70</v>
      </c>
      <c r="H32" s="84">
        <f t="shared" si="0"/>
        <v>1.54</v>
      </c>
      <c r="I32" s="84">
        <f t="shared" si="1"/>
        <v>2.16</v>
      </c>
      <c r="J32" s="84">
        <f t="shared" si="2"/>
        <v>2.87</v>
      </c>
      <c r="K32" s="84">
        <f t="shared" si="3"/>
        <v>4.12</v>
      </c>
      <c r="L32" s="85">
        <f t="shared" si="4"/>
        <v>4.9510634055000002</v>
      </c>
      <c r="M32" s="84">
        <f t="shared" si="5"/>
        <v>0.55000000000000004</v>
      </c>
      <c r="N32" s="84">
        <f t="shared" si="6"/>
        <v>0.73</v>
      </c>
      <c r="O32" s="84">
        <f t="shared" si="7"/>
        <v>0.95</v>
      </c>
      <c r="P32" s="84">
        <f t="shared" si="8"/>
        <v>2.2400000000000002</v>
      </c>
      <c r="Q32" s="86">
        <f t="shared" si="9"/>
        <v>0.20637935500000001</v>
      </c>
      <c r="R32" s="86">
        <f t="shared" si="14"/>
        <v>0.23098612424999998</v>
      </c>
      <c r="S32" s="86">
        <f t="shared" si="15"/>
        <v>0.33417580175</v>
      </c>
      <c r="T32" s="78"/>
    </row>
    <row r="33" spans="1:25" ht="15">
      <c r="A33" s="89"/>
      <c r="B33" s="169" t="s">
        <v>169</v>
      </c>
      <c r="C33" s="170">
        <v>0.97969799999999996</v>
      </c>
      <c r="D33" s="83">
        <v>0</v>
      </c>
      <c r="E33" s="83">
        <v>15</v>
      </c>
      <c r="F33" s="83">
        <v>15</v>
      </c>
      <c r="G33" s="83">
        <v>70</v>
      </c>
      <c r="H33" s="84">
        <f t="shared" si="0"/>
        <v>1.54</v>
      </c>
      <c r="I33" s="84">
        <f t="shared" si="1"/>
        <v>2.16</v>
      </c>
      <c r="J33" s="84">
        <f t="shared" si="2"/>
        <v>2.87</v>
      </c>
      <c r="K33" s="84">
        <f t="shared" si="3"/>
        <v>4.12</v>
      </c>
      <c r="L33" s="85">
        <f t="shared" si="4"/>
        <v>3.5646311729999995</v>
      </c>
      <c r="M33" s="84">
        <f t="shared" si="5"/>
        <v>0.55000000000000004</v>
      </c>
      <c r="N33" s="84">
        <f t="shared" si="6"/>
        <v>0.73</v>
      </c>
      <c r="O33" s="84">
        <f t="shared" si="7"/>
        <v>0.95</v>
      </c>
      <c r="P33" s="84">
        <f t="shared" si="8"/>
        <v>2.2400000000000002</v>
      </c>
      <c r="Q33" s="86">
        <f t="shared" si="9"/>
        <v>0.14858753</v>
      </c>
      <c r="R33" s="86">
        <f t="shared" si="14"/>
        <v>0.16630373549999997</v>
      </c>
      <c r="S33" s="86">
        <f t="shared" si="15"/>
        <v>0.24059750049999998</v>
      </c>
      <c r="T33" s="78"/>
    </row>
    <row r="34" spans="1:25" ht="15">
      <c r="A34" s="89"/>
      <c r="B34" s="169" t="s">
        <v>170</v>
      </c>
      <c r="C34" s="170">
        <v>1.2950349999999999</v>
      </c>
      <c r="D34" s="83">
        <v>0</v>
      </c>
      <c r="E34" s="83">
        <v>15</v>
      </c>
      <c r="F34" s="83">
        <v>15</v>
      </c>
      <c r="G34" s="83">
        <v>70</v>
      </c>
      <c r="H34" s="84">
        <f t="shared" si="0"/>
        <v>1.54</v>
      </c>
      <c r="I34" s="84">
        <f t="shared" si="1"/>
        <v>2.16</v>
      </c>
      <c r="J34" s="84">
        <f t="shared" si="2"/>
        <v>2.87</v>
      </c>
      <c r="K34" s="84">
        <f t="shared" si="3"/>
        <v>4.12</v>
      </c>
      <c r="L34" s="85">
        <f t="shared" si="4"/>
        <v>4.7119848475000001</v>
      </c>
      <c r="M34" s="84">
        <f t="shared" si="5"/>
        <v>0.55000000000000004</v>
      </c>
      <c r="N34" s="84">
        <f t="shared" si="6"/>
        <v>0.73</v>
      </c>
      <c r="O34" s="84">
        <f t="shared" si="7"/>
        <v>0.95</v>
      </c>
      <c r="P34" s="84">
        <f t="shared" si="8"/>
        <v>2.2400000000000002</v>
      </c>
      <c r="Q34" s="86">
        <f t="shared" si="9"/>
        <v>0.19641364166666669</v>
      </c>
      <c r="R34" s="86">
        <f t="shared" si="14"/>
        <v>0.21983219125</v>
      </c>
      <c r="S34" s="86">
        <f t="shared" si="15"/>
        <v>0.31803901208333335</v>
      </c>
      <c r="T34" s="78"/>
    </row>
    <row r="35" spans="1:25" ht="15">
      <c r="B35" s="169" t="s">
        <v>171</v>
      </c>
      <c r="C35" s="170">
        <v>2.3832900000000001</v>
      </c>
      <c r="D35" s="83">
        <v>0</v>
      </c>
      <c r="E35" s="83">
        <v>15</v>
      </c>
      <c r="F35" s="83">
        <v>15</v>
      </c>
      <c r="G35" s="83">
        <v>70</v>
      </c>
      <c r="H35" s="84">
        <f t="shared" si="0"/>
        <v>1.54</v>
      </c>
      <c r="I35" s="84">
        <f t="shared" si="1"/>
        <v>2.16</v>
      </c>
      <c r="J35" s="84">
        <f t="shared" si="2"/>
        <v>2.87</v>
      </c>
      <c r="K35" s="84">
        <f t="shared" si="3"/>
        <v>4.12</v>
      </c>
      <c r="L35" s="85">
        <f t="shared" ref="L35:L37" si="18">((C35*D35*H35)+(C35*E35*I35)+(C35*F35*J35)+(C35*G35*K35))/100</f>
        <v>8.6716006650000015</v>
      </c>
      <c r="M35" s="84">
        <f t="shared" si="5"/>
        <v>0.55000000000000004</v>
      </c>
      <c r="N35" s="84">
        <f t="shared" si="6"/>
        <v>0.73</v>
      </c>
      <c r="O35" s="84">
        <f t="shared" si="7"/>
        <v>0.95</v>
      </c>
      <c r="P35" s="84">
        <f t="shared" si="8"/>
        <v>2.2400000000000002</v>
      </c>
      <c r="Q35" s="86">
        <f t="shared" ref="Q35:Q37" si="19">((C35*D35*M35)+(C35*E35*N35)+(C35*F35*O35)+(C35*G35*P35))/1200</f>
        <v>0.36146565000000008</v>
      </c>
      <c r="R35" s="86">
        <f t="shared" si="14"/>
        <v>0.40456347750000005</v>
      </c>
      <c r="S35" s="86">
        <f t="shared" si="15"/>
        <v>0.58529630250000009</v>
      </c>
      <c r="T35" s="78"/>
      <c r="W35" s="89"/>
      <c r="Y35" s="89"/>
    </row>
    <row r="36" spans="1:25" ht="15">
      <c r="A36" s="89"/>
      <c r="B36" s="169" t="s">
        <v>172</v>
      </c>
      <c r="C36" s="170">
        <v>0.70773900000000001</v>
      </c>
      <c r="D36" s="83">
        <v>0</v>
      </c>
      <c r="E36" s="83">
        <v>15</v>
      </c>
      <c r="F36" s="83">
        <v>15</v>
      </c>
      <c r="G36" s="83">
        <v>70</v>
      </c>
      <c r="H36" s="84">
        <f t="shared" si="0"/>
        <v>1.54</v>
      </c>
      <c r="I36" s="84">
        <f t="shared" si="1"/>
        <v>2.16</v>
      </c>
      <c r="J36" s="84">
        <f t="shared" si="2"/>
        <v>2.87</v>
      </c>
      <c r="K36" s="84">
        <f t="shared" si="3"/>
        <v>4.12</v>
      </c>
      <c r="L36" s="85">
        <f t="shared" si="18"/>
        <v>2.5751083514999999</v>
      </c>
      <c r="M36" s="84">
        <f t="shared" si="5"/>
        <v>0.55000000000000004</v>
      </c>
      <c r="N36" s="84">
        <f t="shared" si="6"/>
        <v>0.73</v>
      </c>
      <c r="O36" s="84">
        <f t="shared" si="7"/>
        <v>0.95</v>
      </c>
      <c r="P36" s="84">
        <f t="shared" si="8"/>
        <v>2.2400000000000002</v>
      </c>
      <c r="Q36" s="86">
        <f t="shared" si="19"/>
        <v>0.10734041500000001</v>
      </c>
      <c r="R36" s="86">
        <f t="shared" si="14"/>
        <v>0.12013869525</v>
      </c>
      <c r="S36" s="86">
        <f t="shared" si="15"/>
        <v>0.17380890274999999</v>
      </c>
      <c r="T36" s="78"/>
    </row>
    <row r="37" spans="1:25" ht="15">
      <c r="A37" s="89"/>
      <c r="B37" s="169" t="s">
        <v>189</v>
      </c>
      <c r="C37" s="170">
        <v>1.344231</v>
      </c>
      <c r="D37" s="83">
        <v>0</v>
      </c>
      <c r="E37" s="83">
        <v>15</v>
      </c>
      <c r="F37" s="83">
        <v>15</v>
      </c>
      <c r="G37" s="83">
        <v>70</v>
      </c>
      <c r="H37" s="84">
        <f t="shared" si="0"/>
        <v>1.54</v>
      </c>
      <c r="I37" s="84">
        <f t="shared" si="1"/>
        <v>2.16</v>
      </c>
      <c r="J37" s="84">
        <f t="shared" si="2"/>
        <v>2.87</v>
      </c>
      <c r="K37" s="84">
        <f t="shared" si="3"/>
        <v>4.12</v>
      </c>
      <c r="L37" s="85">
        <f t="shared" si="18"/>
        <v>4.8909844935000004</v>
      </c>
      <c r="M37" s="84">
        <f t="shared" si="5"/>
        <v>0.55000000000000004</v>
      </c>
      <c r="N37" s="84">
        <f t="shared" si="6"/>
        <v>0.73</v>
      </c>
      <c r="O37" s="84">
        <f t="shared" si="7"/>
        <v>0.95</v>
      </c>
      <c r="P37" s="84">
        <f t="shared" si="8"/>
        <v>2.2400000000000002</v>
      </c>
      <c r="Q37" s="86">
        <f t="shared" si="19"/>
        <v>0.20387503500000004</v>
      </c>
      <c r="R37" s="86">
        <f t="shared" si="14"/>
        <v>0.22818321225000002</v>
      </c>
      <c r="S37" s="86">
        <f t="shared" si="15"/>
        <v>0.33012072975000006</v>
      </c>
      <c r="T37" s="78"/>
    </row>
    <row r="38" spans="1:25" ht="12.75" customHeight="1">
      <c r="T38" s="78"/>
    </row>
    <row r="39" spans="1:25"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</row>
    <row r="40" spans="1:25"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</row>
    <row r="41" spans="1:25"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</row>
    <row r="42" spans="1:25">
      <c r="B42" s="78"/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</row>
    <row r="43" spans="1:25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  <c r="M43" s="78"/>
      <c r="N43" s="78"/>
      <c r="O43" s="78"/>
      <c r="P43" s="78"/>
      <c r="Q43" s="78"/>
      <c r="R43" s="78"/>
      <c r="S43" s="78"/>
      <c r="T43" s="78"/>
    </row>
    <row r="44" spans="1:25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</row>
    <row r="45" spans="1:25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8"/>
      <c r="P45" s="78"/>
      <c r="Q45" s="78"/>
      <c r="R45" s="78"/>
      <c r="S45" s="78"/>
      <c r="T45" s="78"/>
    </row>
    <row r="46" spans="1:25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</row>
    <row r="47" spans="1:25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</row>
    <row r="48" spans="1:25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M48" s="78"/>
      <c r="N48" s="78"/>
      <c r="O48" s="78"/>
      <c r="P48" s="78"/>
      <c r="Q48" s="78"/>
      <c r="R48" s="78"/>
      <c r="S48" s="78"/>
      <c r="T48" s="78"/>
    </row>
    <row r="49" spans="1:20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</row>
    <row r="50" spans="1:20" s="91" customFormat="1">
      <c r="A50" s="78"/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</row>
    <row r="51" spans="1:20" s="91" customFormat="1">
      <c r="A51" s="78"/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M51" s="78"/>
      <c r="N51" s="78"/>
      <c r="O51" s="78"/>
      <c r="P51" s="78"/>
      <c r="Q51" s="78"/>
      <c r="R51" s="78"/>
      <c r="S51" s="78"/>
    </row>
    <row r="52" spans="1:20" s="91" customFormat="1">
      <c r="A52" s="78"/>
      <c r="B52" s="78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</row>
    <row r="53" spans="1:20" s="91" customFormat="1">
      <c r="A53" s="78"/>
      <c r="B53" s="78"/>
      <c r="D53" s="78"/>
      <c r="E53" s="78"/>
      <c r="F53" s="78"/>
      <c r="G53" s="78"/>
      <c r="H53" s="78"/>
      <c r="I53" s="78"/>
      <c r="J53" s="78"/>
      <c r="K53" s="78"/>
      <c r="L53" s="78"/>
      <c r="M53" s="78"/>
      <c r="N53" s="78"/>
      <c r="O53" s="78"/>
      <c r="P53" s="78"/>
    </row>
    <row r="54" spans="1:20" s="91" customFormat="1">
      <c r="A54" s="78"/>
      <c r="B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</row>
    <row r="55" spans="1:20" s="91" customFormat="1">
      <c r="A55" s="78"/>
      <c r="B55" s="78"/>
      <c r="D55" s="78"/>
      <c r="E55" s="78"/>
      <c r="F55" s="78"/>
      <c r="G55" s="78"/>
      <c r="H55" s="78"/>
      <c r="I55" s="78"/>
      <c r="J55" s="78"/>
      <c r="K55" s="78"/>
      <c r="L55" s="78"/>
      <c r="M55" s="78"/>
      <c r="N55" s="78"/>
      <c r="O55" s="78"/>
      <c r="P55" s="78"/>
    </row>
    <row r="56" spans="1:20" s="91" customFormat="1">
      <c r="A56" s="78"/>
      <c r="B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</row>
    <row r="57" spans="1:20">
      <c r="B57" s="78"/>
      <c r="C57" s="91"/>
      <c r="D57" s="78"/>
      <c r="E57" s="78"/>
      <c r="F57" s="78"/>
      <c r="G57" s="78"/>
      <c r="H57" s="78"/>
      <c r="I57" s="78"/>
      <c r="J57" s="78"/>
      <c r="K57" s="78"/>
      <c r="L57" s="78"/>
      <c r="M57" s="78"/>
      <c r="N57" s="78"/>
      <c r="O57" s="78"/>
      <c r="P57" s="78"/>
      <c r="Q57" s="91"/>
      <c r="R57" s="91"/>
      <c r="S57" s="91"/>
      <c r="T57" s="78"/>
    </row>
    <row r="58" spans="1:20">
      <c r="B58" s="78"/>
      <c r="C58" s="91"/>
      <c r="D58" s="78"/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91"/>
      <c r="R58" s="91"/>
      <c r="S58" s="91"/>
      <c r="T58" s="78"/>
    </row>
    <row r="59" spans="1:20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</row>
    <row r="60" spans="1:20">
      <c r="B60" s="78"/>
      <c r="C60" s="8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</row>
    <row r="61" spans="1:20"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</row>
    <row r="62" spans="1:20"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8"/>
      <c r="O62" s="78"/>
      <c r="P62" s="78"/>
      <c r="Q62" s="78"/>
      <c r="R62" s="78"/>
      <c r="S62" s="78"/>
      <c r="T62" s="78"/>
    </row>
    <row r="63" spans="1:20">
      <c r="B63" s="78"/>
      <c r="C63" s="78"/>
      <c r="D63" s="78"/>
      <c r="E63" s="78"/>
      <c r="F63" s="78"/>
      <c r="G63" s="78"/>
      <c r="H63" s="78"/>
      <c r="I63" s="78"/>
      <c r="J63" s="78"/>
      <c r="K63" s="78"/>
      <c r="L63" s="78"/>
      <c r="M63" s="78"/>
      <c r="N63" s="78"/>
      <c r="O63" s="78"/>
      <c r="P63" s="78"/>
      <c r="Q63" s="78"/>
      <c r="R63" s="78"/>
      <c r="S63" s="78"/>
      <c r="T63" s="78"/>
    </row>
    <row r="64" spans="1:20"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</row>
    <row r="65" spans="1:20"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</row>
    <row r="66" spans="1:20">
      <c r="B66" s="78"/>
      <c r="C66" s="78"/>
      <c r="D66" s="78"/>
      <c r="E66" s="78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</row>
    <row r="67" spans="1:20"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</row>
    <row r="68" spans="1:20">
      <c r="B68" s="78"/>
      <c r="C68" s="78"/>
      <c r="D68" s="78"/>
      <c r="E68" s="78"/>
      <c r="F68" s="78"/>
      <c r="G68" s="78"/>
      <c r="H68" s="78"/>
      <c r="I68" s="78"/>
      <c r="J68" s="78"/>
      <c r="K68" s="78"/>
      <c r="L68" s="78"/>
      <c r="M68" s="78"/>
      <c r="N68" s="78"/>
      <c r="O68" s="78"/>
      <c r="P68" s="78"/>
      <c r="Q68" s="78"/>
      <c r="R68" s="78"/>
      <c r="S68" s="78"/>
      <c r="T68" s="78"/>
    </row>
    <row r="69" spans="1:20">
      <c r="B69" s="78"/>
      <c r="C69" s="78"/>
      <c r="D69" s="78"/>
      <c r="E69" s="78"/>
      <c r="F69" s="78"/>
      <c r="G69" s="78"/>
      <c r="H69" s="78"/>
      <c r="I69" s="78"/>
      <c r="J69" s="78"/>
      <c r="K69" s="78"/>
      <c r="L69" s="78"/>
      <c r="M69" s="78"/>
      <c r="N69" s="78"/>
      <c r="O69" s="78"/>
      <c r="P69" s="78"/>
      <c r="Q69" s="78"/>
      <c r="R69" s="78"/>
      <c r="S69" s="78"/>
      <c r="T69" s="78"/>
    </row>
    <row r="70" spans="1:20"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</row>
    <row r="71" spans="1:20">
      <c r="B71" s="78"/>
      <c r="C71" s="78"/>
      <c r="D71" s="78"/>
      <c r="E71" s="78"/>
      <c r="F71" s="78"/>
      <c r="G71" s="78"/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</row>
    <row r="72" spans="1:20">
      <c r="B72" s="78"/>
      <c r="C72" s="78"/>
      <c r="D72" s="78"/>
      <c r="E72" s="78"/>
      <c r="F72" s="78"/>
      <c r="G72" s="78"/>
      <c r="H72" s="78"/>
      <c r="I72" s="78"/>
      <c r="J72" s="78"/>
      <c r="K72" s="78"/>
      <c r="L72" s="78"/>
      <c r="M72" s="78"/>
      <c r="N72" s="78"/>
      <c r="O72" s="78"/>
      <c r="P72" s="78"/>
      <c r="Q72" s="78"/>
      <c r="R72" s="78"/>
      <c r="S72" s="78"/>
      <c r="T72" s="78"/>
    </row>
    <row r="73" spans="1:20">
      <c r="B73" s="78"/>
      <c r="C73" s="78"/>
      <c r="D73" s="78"/>
      <c r="E73" s="78"/>
      <c r="F73" s="78"/>
      <c r="G73" s="78"/>
      <c r="H73" s="78"/>
      <c r="I73" s="78"/>
      <c r="J73" s="78"/>
      <c r="K73" s="78"/>
      <c r="L73" s="78"/>
      <c r="M73" s="78"/>
      <c r="N73" s="78"/>
      <c r="O73" s="78"/>
      <c r="P73" s="78"/>
      <c r="Q73" s="78"/>
      <c r="R73" s="78"/>
      <c r="S73" s="78"/>
      <c r="T73" s="78"/>
    </row>
    <row r="74" spans="1:20">
      <c r="A74" s="89"/>
      <c r="B74" s="78"/>
      <c r="C74" s="78"/>
      <c r="D74" s="78"/>
      <c r="E74" s="78"/>
      <c r="F74" s="78"/>
      <c r="G74" s="78"/>
      <c r="H74" s="78"/>
      <c r="I74" s="78"/>
      <c r="J74" s="78"/>
      <c r="K74" s="78"/>
      <c r="L74" s="78"/>
      <c r="M74" s="78"/>
      <c r="N74" s="78"/>
      <c r="O74" s="78"/>
      <c r="P74" s="78"/>
      <c r="Q74" s="78"/>
      <c r="R74" s="78"/>
      <c r="S74" s="78"/>
      <c r="T74" s="78"/>
    </row>
    <row r="75" spans="1:20" ht="16.5" customHeight="1">
      <c r="B75" s="78"/>
      <c r="C75" s="78"/>
      <c r="D75" s="78"/>
      <c r="E75" s="78"/>
      <c r="F75" s="78"/>
      <c r="G75" s="78"/>
      <c r="H75" s="78"/>
      <c r="I75" s="78"/>
      <c r="J75" s="78"/>
      <c r="K75" s="78"/>
      <c r="L75" s="78"/>
      <c r="M75" s="78"/>
      <c r="N75" s="78"/>
      <c r="O75" s="78"/>
      <c r="P75" s="78"/>
      <c r="Q75" s="78"/>
      <c r="R75" s="78"/>
      <c r="S75" s="78"/>
      <c r="T75" s="78"/>
    </row>
    <row r="76" spans="1:20"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8"/>
      <c r="P76" s="78"/>
      <c r="Q76" s="78"/>
      <c r="R76" s="78"/>
      <c r="S76" s="78"/>
      <c r="T76" s="78"/>
    </row>
    <row r="77" spans="1:20">
      <c r="B77" s="78"/>
      <c r="C77" s="78"/>
      <c r="D77" s="78"/>
      <c r="E77" s="78"/>
      <c r="F77" s="78"/>
      <c r="G77" s="78"/>
      <c r="H77" s="78"/>
      <c r="I77" s="78"/>
      <c r="J77" s="78"/>
      <c r="K77" s="78"/>
      <c r="L77" s="78"/>
      <c r="M77" s="78"/>
      <c r="N77" s="78"/>
      <c r="O77" s="78"/>
      <c r="P77" s="78"/>
      <c r="Q77" s="78"/>
      <c r="R77" s="78"/>
      <c r="S77" s="78"/>
      <c r="T77" s="78"/>
    </row>
    <row r="78" spans="1:20">
      <c r="B78" s="78"/>
      <c r="C78" s="78"/>
      <c r="D78" s="78"/>
      <c r="E78" s="78"/>
      <c r="F78" s="78"/>
      <c r="G78" s="78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/>
      <c r="T78" s="78"/>
    </row>
    <row r="79" spans="1:20">
      <c r="B79" s="78"/>
      <c r="C79" s="78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78"/>
      <c r="Q79" s="78"/>
      <c r="R79" s="78"/>
      <c r="S79" s="78"/>
      <c r="T79" s="78"/>
    </row>
    <row r="80" spans="1:20">
      <c r="B80" s="78"/>
      <c r="C80" s="78"/>
      <c r="D80" s="78"/>
      <c r="E80" s="78"/>
      <c r="F80" s="78"/>
      <c r="G80" s="78"/>
      <c r="H80" s="78"/>
      <c r="I80" s="78"/>
      <c r="J80" s="78"/>
      <c r="K80" s="78"/>
      <c r="L80" s="78"/>
      <c r="M80" s="78"/>
      <c r="N80" s="78"/>
      <c r="O80" s="78"/>
      <c r="P80" s="78"/>
      <c r="Q80" s="78"/>
      <c r="R80" s="78"/>
      <c r="S80" s="78"/>
      <c r="T80" s="78"/>
    </row>
    <row r="81" spans="2:22">
      <c r="B81" s="78"/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  <c r="N81" s="78"/>
      <c r="O81" s="78"/>
      <c r="P81" s="78"/>
      <c r="Q81" s="78"/>
      <c r="R81" s="78"/>
      <c r="S81" s="78"/>
      <c r="T81" s="78"/>
    </row>
    <row r="82" spans="2:22">
      <c r="B82" s="78"/>
      <c r="C82" s="78"/>
      <c r="D82" s="78"/>
      <c r="E82" s="78"/>
      <c r="F82" s="78"/>
      <c r="G82" s="78"/>
      <c r="H82" s="78"/>
      <c r="I82" s="78"/>
      <c r="J82" s="78"/>
      <c r="K82" s="78"/>
      <c r="L82" s="78"/>
      <c r="M82" s="78"/>
      <c r="N82" s="78"/>
      <c r="O82" s="78"/>
      <c r="P82" s="78"/>
      <c r="Q82" s="78"/>
      <c r="R82" s="78"/>
      <c r="S82" s="78"/>
      <c r="T82" s="78"/>
    </row>
    <row r="83" spans="2:22">
      <c r="B83" s="78"/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78"/>
      <c r="O83" s="78"/>
      <c r="P83" s="78"/>
      <c r="Q83" s="78"/>
      <c r="R83" s="78"/>
      <c r="S83" s="78"/>
      <c r="T83" s="78"/>
    </row>
    <row r="84" spans="2:22">
      <c r="B84" s="78"/>
      <c r="C84" s="78"/>
      <c r="D84" s="78"/>
      <c r="E84" s="78"/>
      <c r="F84" s="78"/>
      <c r="G84" s="78"/>
      <c r="H84" s="78"/>
      <c r="I84" s="78"/>
      <c r="J84" s="78"/>
      <c r="K84" s="78"/>
      <c r="L84" s="78"/>
      <c r="M84" s="78"/>
      <c r="N84" s="78"/>
      <c r="O84" s="78"/>
      <c r="P84" s="78"/>
      <c r="Q84" s="78"/>
      <c r="R84" s="78"/>
      <c r="S84" s="78"/>
      <c r="T84" s="78"/>
    </row>
    <row r="85" spans="2:22">
      <c r="B85" s="78"/>
      <c r="C85" s="78"/>
      <c r="D85" s="78"/>
      <c r="E85" s="78"/>
      <c r="F85" s="78"/>
      <c r="G85" s="78"/>
      <c r="H85" s="78"/>
      <c r="I85" s="78"/>
      <c r="J85" s="78"/>
      <c r="K85" s="78"/>
      <c r="L85" s="78"/>
      <c r="M85" s="78"/>
      <c r="N85" s="78"/>
      <c r="O85" s="78"/>
      <c r="P85" s="78"/>
      <c r="Q85" s="78"/>
      <c r="R85" s="78"/>
      <c r="S85" s="78"/>
      <c r="T85" s="78"/>
      <c r="U85" s="88"/>
      <c r="V85" s="88"/>
    </row>
    <row r="86" spans="2:22">
      <c r="B86" s="78"/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</row>
    <row r="87" spans="2:22">
      <c r="T87" s="78"/>
    </row>
    <row r="88" spans="2:22">
      <c r="T88" s="78"/>
    </row>
    <row r="89" spans="2:22">
      <c r="T89" s="78"/>
    </row>
    <row r="90" spans="2:22">
      <c r="T90" s="78"/>
    </row>
    <row r="91" spans="2:22">
      <c r="T91" s="78"/>
    </row>
    <row r="92" spans="2:22">
      <c r="T92" s="78"/>
    </row>
    <row r="93" spans="2:22">
      <c r="T93" s="78"/>
    </row>
    <row r="94" spans="2:22">
      <c r="T94" s="78"/>
    </row>
    <row r="95" spans="2:22">
      <c r="T95" s="78"/>
    </row>
    <row r="96" spans="2:22">
      <c r="T96" s="78"/>
    </row>
    <row r="97" spans="20:20">
      <c r="T97" s="78"/>
    </row>
    <row r="98" spans="20:20">
      <c r="T98" s="78"/>
    </row>
    <row r="99" spans="20:20">
      <c r="T99" s="78"/>
    </row>
    <row r="100" spans="20:20">
      <c r="T100" s="78"/>
    </row>
    <row r="101" spans="20:20">
      <c r="T101" s="78"/>
    </row>
    <row r="102" spans="20:20">
      <c r="T102" s="78"/>
    </row>
    <row r="103" spans="20:20">
      <c r="T103" s="78"/>
    </row>
  </sheetData>
  <mergeCells count="21">
    <mergeCell ref="S3:S4"/>
    <mergeCell ref="B25:S25"/>
    <mergeCell ref="B5:S5"/>
    <mergeCell ref="B2:R2"/>
    <mergeCell ref="B3:B4"/>
    <mergeCell ref="C3:C4"/>
    <mergeCell ref="D3:G3"/>
    <mergeCell ref="H3:K3"/>
    <mergeCell ref="L3:L4"/>
    <mergeCell ref="M3:P3"/>
    <mergeCell ref="Q3:Q4"/>
    <mergeCell ref="R3:R4"/>
    <mergeCell ref="B23:B24"/>
    <mergeCell ref="C23:C24"/>
    <mergeCell ref="D23:G23"/>
    <mergeCell ref="H23:K23"/>
    <mergeCell ref="L23:L24"/>
    <mergeCell ref="M23:P23"/>
    <mergeCell ref="Q23:Q24"/>
    <mergeCell ref="R23:R24"/>
    <mergeCell ref="S23:S24"/>
  </mergeCells>
  <printOptions horizontalCentered="1"/>
  <pageMargins left="0.7" right="0.7" top="0.75" bottom="0.75" header="0.3" footer="0.3"/>
  <pageSetup paperSize="3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AN53"/>
  <sheetViews>
    <sheetView topLeftCell="B1" workbookViewId="0"/>
  </sheetViews>
  <sheetFormatPr defaultRowHeight="15"/>
  <cols>
    <col min="1" max="1" width="23.85546875" hidden="1" customWidth="1"/>
    <col min="2" max="2" width="8.7109375" style="1" bestFit="1" customWidth="1"/>
    <col min="3" max="3" width="11.28515625" style="2" bestFit="1" customWidth="1"/>
    <col min="4" max="5" width="9.140625" style="1" customWidth="1"/>
    <col min="6" max="7" width="9.140625" style="2" customWidth="1"/>
    <col min="8" max="8" width="9.85546875" style="1" customWidth="1"/>
    <col min="9" max="9" width="9.7109375" style="1" customWidth="1"/>
    <col min="10" max="11" width="10.42578125" style="1" customWidth="1"/>
    <col min="12" max="12" width="11.7109375" style="2" customWidth="1"/>
    <col min="13" max="16" width="9.140625" style="1" customWidth="1"/>
    <col min="17" max="17" width="12.28515625" style="1" customWidth="1"/>
    <col min="18" max="19" width="12.42578125" style="2" customWidth="1"/>
    <col min="20" max="23" width="9.140625" style="1" hidden="1" customWidth="1"/>
    <col min="24" max="24" width="12.28515625" style="1" hidden="1" customWidth="1"/>
    <col min="25" max="25" width="12.42578125" style="2" hidden="1" customWidth="1"/>
    <col min="26" max="26" width="12.42578125" style="2" customWidth="1"/>
    <col min="28" max="28" width="12.7109375" bestFit="1" customWidth="1"/>
  </cols>
  <sheetData>
    <row r="2" spans="1:40" ht="36" customHeight="1">
      <c r="B2" s="220" t="s">
        <v>35</v>
      </c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75"/>
      <c r="T2" s="10"/>
      <c r="U2" s="10"/>
      <c r="V2" s="10"/>
      <c r="W2" s="10"/>
      <c r="X2" s="10"/>
      <c r="Y2" s="10"/>
      <c r="Z2" s="10"/>
    </row>
    <row r="3" spans="1:40" ht="15.75" customHeight="1">
      <c r="A3" s="221" t="s">
        <v>36</v>
      </c>
      <c r="B3" s="222" t="s">
        <v>0</v>
      </c>
      <c r="C3" s="223" t="s">
        <v>1</v>
      </c>
      <c r="D3" s="218" t="s">
        <v>2</v>
      </c>
      <c r="E3" s="218"/>
      <c r="F3" s="218"/>
      <c r="G3" s="218"/>
      <c r="H3" s="218" t="s">
        <v>3</v>
      </c>
      <c r="I3" s="218"/>
      <c r="J3" s="218"/>
      <c r="K3" s="218"/>
      <c r="L3" s="223" t="s">
        <v>37</v>
      </c>
      <c r="M3" s="218" t="s">
        <v>5</v>
      </c>
      <c r="N3" s="219"/>
      <c r="O3" s="219"/>
      <c r="P3" s="219"/>
      <c r="Q3" s="215" t="s">
        <v>32</v>
      </c>
      <c r="R3" s="215" t="s">
        <v>33</v>
      </c>
      <c r="S3" s="215" t="s">
        <v>34</v>
      </c>
      <c r="T3" s="216" t="s">
        <v>38</v>
      </c>
      <c r="U3" s="217"/>
      <c r="V3" s="217"/>
      <c r="W3" s="217"/>
    </row>
    <row r="4" spans="1:40" ht="48" customHeight="1">
      <c r="A4" s="221"/>
      <c r="B4" s="222"/>
      <c r="C4" s="223"/>
      <c r="D4" s="74" t="s">
        <v>9</v>
      </c>
      <c r="E4" s="74" t="s">
        <v>10</v>
      </c>
      <c r="F4" s="76" t="s">
        <v>11</v>
      </c>
      <c r="G4" s="76" t="s">
        <v>12</v>
      </c>
      <c r="H4" s="74" t="s">
        <v>13</v>
      </c>
      <c r="I4" s="74" t="s">
        <v>14</v>
      </c>
      <c r="J4" s="74" t="s">
        <v>15</v>
      </c>
      <c r="K4" s="74" t="s">
        <v>16</v>
      </c>
      <c r="L4" s="223"/>
      <c r="M4" s="74" t="s">
        <v>17</v>
      </c>
      <c r="N4" s="74" t="s">
        <v>18</v>
      </c>
      <c r="O4" s="74" t="s">
        <v>19</v>
      </c>
      <c r="P4" s="74" t="s">
        <v>20</v>
      </c>
      <c r="Q4" s="215"/>
      <c r="R4" s="215"/>
      <c r="S4" s="215"/>
      <c r="T4" s="8" t="s">
        <v>17</v>
      </c>
      <c r="U4" s="8" t="s">
        <v>18</v>
      </c>
      <c r="V4" s="8" t="s">
        <v>19</v>
      </c>
      <c r="W4" s="8" t="s">
        <v>20</v>
      </c>
      <c r="X4" s="8" t="s">
        <v>32</v>
      </c>
      <c r="Y4" s="8" t="s">
        <v>33</v>
      </c>
      <c r="Z4" s="70"/>
      <c r="AD4" t="s">
        <v>39</v>
      </c>
      <c r="AE4" t="s">
        <v>40</v>
      </c>
      <c r="AG4" s="9" t="s">
        <v>41</v>
      </c>
      <c r="AH4" s="9" t="s">
        <v>42</v>
      </c>
      <c r="AJ4" s="9" t="s">
        <v>43</v>
      </c>
      <c r="AK4" s="9" t="s">
        <v>44</v>
      </c>
    </row>
    <row r="5" spans="1:40" ht="15.75">
      <c r="A5" s="11" t="s">
        <v>45</v>
      </c>
      <c r="B5" s="13" t="s">
        <v>30</v>
      </c>
      <c r="C5" s="14">
        <v>0.82</v>
      </c>
      <c r="D5" s="15">
        <v>0</v>
      </c>
      <c r="E5" s="15">
        <v>0</v>
      </c>
      <c r="F5" s="15">
        <v>10</v>
      </c>
      <c r="G5" s="15">
        <v>90</v>
      </c>
      <c r="H5" s="13">
        <v>0.38</v>
      </c>
      <c r="I5" s="13">
        <v>0.95</v>
      </c>
      <c r="J5" s="13">
        <v>1.71</v>
      </c>
      <c r="K5" s="13">
        <v>3.14</v>
      </c>
      <c r="L5" s="14">
        <f>((C5*D5*H5)+(C5*E5*I5)+(C5*F5*J5)+(C5*G5*K5))/100</f>
        <v>2.4575399999999998</v>
      </c>
      <c r="M5" s="13">
        <v>0.13</v>
      </c>
      <c r="N5" s="13">
        <v>0.28000000000000003</v>
      </c>
      <c r="O5" s="13">
        <v>0.52</v>
      </c>
      <c r="P5" s="13">
        <v>1.34</v>
      </c>
      <c r="Q5" s="14">
        <f>((C5*D5*M5)+(C5*E5*N5)+(C5*F5*O5)+(C5*G5*P5))/1200</f>
        <v>8.5963333333333322E-2</v>
      </c>
      <c r="R5" s="14">
        <f>Q5+((C5*G5/100)*((1.83-1.57)/12))</f>
        <v>0.10195333333333333</v>
      </c>
      <c r="S5" s="14">
        <f>Q5+((C5*G5/100)*((2.64-1.57)/12))</f>
        <v>0.15176833333333334</v>
      </c>
      <c r="T5" s="3">
        <v>0.08</v>
      </c>
      <c r="U5" s="3">
        <v>0.22</v>
      </c>
      <c r="V5" s="3">
        <v>0.44</v>
      </c>
      <c r="W5" s="3">
        <v>1.24</v>
      </c>
      <c r="X5" s="4">
        <f>((C5*D5*T5)+(C5*E5*U5)+(C5*F5*V5)+(C5*G5*W5))/12</f>
        <v>7.9266666666666667</v>
      </c>
      <c r="Y5" s="4" t="e">
        <f>X5+((#REF!)*((2.66-2.2)/12))</f>
        <v>#REF!</v>
      </c>
      <c r="Z5" s="71"/>
      <c r="AD5" s="18">
        <f t="shared" ref="AD5:AD20" si="0">L5-L28</f>
        <v>0.23451999999999984</v>
      </c>
      <c r="AE5" s="18">
        <f t="shared" ref="AE5:AE20" si="1">R5-R28</f>
        <v>1.4759999999999995E-2</v>
      </c>
    </row>
    <row r="6" spans="1:40" ht="15.75">
      <c r="A6" s="12" t="s">
        <v>46</v>
      </c>
      <c r="B6" s="13" t="s">
        <v>31</v>
      </c>
      <c r="C6" s="14">
        <v>0.79</v>
      </c>
      <c r="D6" s="15">
        <v>0</v>
      </c>
      <c r="E6" s="15">
        <v>0</v>
      </c>
      <c r="F6" s="15">
        <v>10</v>
      </c>
      <c r="G6" s="15">
        <v>90</v>
      </c>
      <c r="H6" s="13">
        <v>0.38</v>
      </c>
      <c r="I6" s="13">
        <v>0.95</v>
      </c>
      <c r="J6" s="13">
        <v>1.71</v>
      </c>
      <c r="K6" s="13">
        <v>3.14</v>
      </c>
      <c r="L6" s="14">
        <f>((C6*D6*H6)+(C6*E6*I6)+(C6*F6*J6)+(C6*G6*K6))/100</f>
        <v>2.3676300000000001</v>
      </c>
      <c r="M6" s="13">
        <v>0.13</v>
      </c>
      <c r="N6" s="13">
        <v>0.28000000000000003</v>
      </c>
      <c r="O6" s="13">
        <v>0.52</v>
      </c>
      <c r="P6" s="13">
        <v>1.34</v>
      </c>
      <c r="Q6" s="14">
        <f>((C6*D6*M6)+(C6*E6*N6)+(C6*F6*O6)+(C6*G6*P6))/1200</f>
        <v>8.2818333333333355E-2</v>
      </c>
      <c r="R6" s="14">
        <f t="shared" ref="R6:R15" si="2">Q6+((C6*G6/100)*((1.83-1.57)/12))</f>
        <v>9.8223333333333357E-2</v>
      </c>
      <c r="S6" s="14">
        <f t="shared" ref="S6:S15" si="3">Q6+((C6*G6/100)*((2.64-1.57)/12))</f>
        <v>0.14621583333333338</v>
      </c>
      <c r="T6" s="5"/>
      <c r="U6" s="5"/>
      <c r="V6" s="5"/>
      <c r="W6" s="5"/>
      <c r="X6" s="5"/>
      <c r="Y6" s="5"/>
      <c r="Z6" s="72"/>
      <c r="AD6" s="18">
        <f t="shared" si="0"/>
        <v>0.22593999999999959</v>
      </c>
      <c r="AE6" s="18">
        <f t="shared" si="1"/>
        <v>1.4220000000000024E-2</v>
      </c>
      <c r="AG6" s="17">
        <f>SUM(AD5:AD6)</f>
        <v>0.46045999999999943</v>
      </c>
      <c r="AH6" s="17">
        <f>SUM(AE5:AE6)</f>
        <v>2.898000000000002E-2</v>
      </c>
      <c r="AJ6" s="21">
        <f>SUM(L5:L6)</f>
        <v>4.82517</v>
      </c>
      <c r="AK6" s="21">
        <f>R5+R6</f>
        <v>0.20017666666666667</v>
      </c>
      <c r="AL6" s="22"/>
      <c r="AM6" s="22" t="s">
        <v>47</v>
      </c>
      <c r="AN6" s="22"/>
    </row>
    <row r="7" spans="1:40" ht="15.75">
      <c r="A7" s="11" t="s">
        <v>45</v>
      </c>
      <c r="B7" s="73" t="s">
        <v>48</v>
      </c>
      <c r="C7" s="14">
        <v>1.51</v>
      </c>
      <c r="D7" s="15">
        <v>0</v>
      </c>
      <c r="E7" s="15">
        <v>0</v>
      </c>
      <c r="F7" s="15">
        <v>10</v>
      </c>
      <c r="G7" s="15">
        <v>90</v>
      </c>
      <c r="H7" s="13">
        <v>0.38</v>
      </c>
      <c r="I7" s="13">
        <v>0.95</v>
      </c>
      <c r="J7" s="13">
        <v>1.71</v>
      </c>
      <c r="K7" s="13">
        <v>3.14</v>
      </c>
      <c r="L7" s="14">
        <f>((C7*D7*H7)+(C7*E7*I7)+(C7*F7*J7)+(C7*G7*K7))/100</f>
        <v>4.5254700000000003</v>
      </c>
      <c r="M7" s="13">
        <v>0.13</v>
      </c>
      <c r="N7" s="13">
        <v>0.28000000000000003</v>
      </c>
      <c r="O7" s="13">
        <v>0.52</v>
      </c>
      <c r="P7" s="13">
        <v>1.34</v>
      </c>
      <c r="Q7" s="14">
        <f>((C7*D7*M7)+(C7*E7*N7)+(C7*F7*O7)+(C7*G7*P7))/1200</f>
        <v>0.15829833333333335</v>
      </c>
      <c r="R7" s="14">
        <f t="shared" si="2"/>
        <v>0.18774333333333335</v>
      </c>
      <c r="S7" s="14">
        <f t="shared" si="3"/>
        <v>0.27947583333333337</v>
      </c>
      <c r="T7" s="3">
        <v>0.08</v>
      </c>
      <c r="U7" s="3">
        <v>0.22</v>
      </c>
      <c r="V7" s="3">
        <v>0.44</v>
      </c>
      <c r="W7" s="3">
        <v>1.24</v>
      </c>
      <c r="X7" s="4">
        <f>((C7*D7*T7)+(C7*E7*U7)+(C7*F7*V7)+(C7*G7*W7))/12</f>
        <v>14.596666666666669</v>
      </c>
      <c r="Y7" s="4" t="e">
        <f>X7+((#REF!)*((2.66-2.2)/12))</f>
        <v>#REF!</v>
      </c>
      <c r="Z7" s="71"/>
      <c r="AD7" s="19">
        <f t="shared" si="0"/>
        <v>0.43186000000000035</v>
      </c>
      <c r="AE7" s="19">
        <f t="shared" si="1"/>
        <v>2.718000000000001E-2</v>
      </c>
    </row>
    <row r="8" spans="1:40" ht="15.75">
      <c r="A8" s="6"/>
      <c r="B8" s="13" t="s">
        <v>49</v>
      </c>
      <c r="C8" s="14">
        <v>0.74</v>
      </c>
      <c r="D8" s="15">
        <v>0</v>
      </c>
      <c r="E8" s="15">
        <v>0</v>
      </c>
      <c r="F8" s="15">
        <v>10</v>
      </c>
      <c r="G8" s="15">
        <v>90</v>
      </c>
      <c r="H8" s="13">
        <v>0.38</v>
      </c>
      <c r="I8" s="13">
        <v>0.95</v>
      </c>
      <c r="J8" s="13">
        <v>1.71</v>
      </c>
      <c r="K8" s="13">
        <v>3.14</v>
      </c>
      <c r="L8" s="14">
        <f t="shared" ref="L8:L15" si="4">((C8*D8*H8)+(C8*E8*I8)+(C8*F8*J8)+(C8*G8*K8))/100</f>
        <v>2.2177799999999999</v>
      </c>
      <c r="M8" s="13">
        <v>0.13</v>
      </c>
      <c r="N8" s="13">
        <v>0.28000000000000003</v>
      </c>
      <c r="O8" s="13">
        <v>0.52</v>
      </c>
      <c r="P8" s="13">
        <v>1.34</v>
      </c>
      <c r="Q8" s="14">
        <f t="shared" ref="Q8:Q15" si="5">((C8*D8*M8)+(C8*E8*N8)+(C8*F8*O8)+(C8*G8*P8))/1200</f>
        <v>7.7576666666666669E-2</v>
      </c>
      <c r="R8" s="14">
        <f t="shared" si="2"/>
        <v>9.2006666666666667E-2</v>
      </c>
      <c r="S8" s="14">
        <f t="shared" si="3"/>
        <v>0.13696166666666665</v>
      </c>
      <c r="AB8" s="17">
        <f>SUM(L7,L9,L10)+L16+L17</f>
        <v>34.570410000000003</v>
      </c>
      <c r="AD8" s="7">
        <f t="shared" si="0"/>
        <v>0</v>
      </c>
      <c r="AE8" s="7">
        <f t="shared" si="1"/>
        <v>0</v>
      </c>
    </row>
    <row r="9" spans="1:40" ht="15.75">
      <c r="B9" s="13" t="s">
        <v>50</v>
      </c>
      <c r="C9" s="14">
        <v>0.28000000000000003</v>
      </c>
      <c r="D9" s="15">
        <v>0</v>
      </c>
      <c r="E9" s="15">
        <v>0</v>
      </c>
      <c r="F9" s="15">
        <v>10</v>
      </c>
      <c r="G9" s="15">
        <v>90</v>
      </c>
      <c r="H9" s="13">
        <v>0.38</v>
      </c>
      <c r="I9" s="13">
        <v>0.95</v>
      </c>
      <c r="J9" s="13">
        <v>1.71</v>
      </c>
      <c r="K9" s="13">
        <v>3.14</v>
      </c>
      <c r="L9" s="14">
        <f t="shared" si="4"/>
        <v>0.83916000000000013</v>
      </c>
      <c r="M9" s="13">
        <v>0.13</v>
      </c>
      <c r="N9" s="13">
        <v>0.28000000000000003</v>
      </c>
      <c r="O9" s="13">
        <v>0.52</v>
      </c>
      <c r="P9" s="13">
        <v>1.34</v>
      </c>
      <c r="Q9" s="14">
        <f t="shared" si="5"/>
        <v>2.9353333333333342E-2</v>
      </c>
      <c r="R9" s="14">
        <f t="shared" si="2"/>
        <v>3.4813333333333342E-2</v>
      </c>
      <c r="S9" s="14">
        <f t="shared" si="3"/>
        <v>5.1823333333333346E-2</v>
      </c>
      <c r="AD9" s="19">
        <f t="shared" si="0"/>
        <v>8.0080000000000151E-2</v>
      </c>
      <c r="AE9" s="19">
        <f t="shared" si="1"/>
        <v>5.0400000000000063E-3</v>
      </c>
    </row>
    <row r="10" spans="1:40" ht="15.75">
      <c r="B10" s="13" t="s">
        <v>51</v>
      </c>
      <c r="C10" s="14">
        <v>0.36</v>
      </c>
      <c r="D10" s="15">
        <v>0</v>
      </c>
      <c r="E10" s="15">
        <v>0</v>
      </c>
      <c r="F10" s="15">
        <v>10</v>
      </c>
      <c r="G10" s="15">
        <v>90</v>
      </c>
      <c r="H10" s="13">
        <v>0.38</v>
      </c>
      <c r="I10" s="13">
        <v>0.95</v>
      </c>
      <c r="J10" s="13">
        <v>1.71</v>
      </c>
      <c r="K10" s="13">
        <v>3.14</v>
      </c>
      <c r="L10" s="14">
        <f t="shared" si="4"/>
        <v>1.0789200000000001</v>
      </c>
      <c r="M10" s="13">
        <v>0.13</v>
      </c>
      <c r="N10" s="13">
        <v>0.28000000000000003</v>
      </c>
      <c r="O10" s="13">
        <v>0.52</v>
      </c>
      <c r="P10" s="13">
        <v>1.34</v>
      </c>
      <c r="Q10" s="14">
        <f t="shared" si="5"/>
        <v>3.7740000000000003E-2</v>
      </c>
      <c r="R10" s="14">
        <f t="shared" si="2"/>
        <v>4.4760000000000001E-2</v>
      </c>
      <c r="S10" s="14">
        <f t="shared" si="3"/>
        <v>6.6630000000000009E-2</v>
      </c>
      <c r="AD10" s="19">
        <f t="shared" si="0"/>
        <v>0.10296000000000005</v>
      </c>
      <c r="AE10" s="19">
        <f t="shared" si="1"/>
        <v>6.4799999999999996E-3</v>
      </c>
      <c r="AG10" s="17">
        <f>SUM(AD7,AD9,AD10,AD16,AD17)</f>
        <v>0.61490000000000056</v>
      </c>
      <c r="AH10" s="17">
        <f>SUM(AE7,AE9,AE10,AE16,AE17)</f>
        <v>3.8700000000000012E-2</v>
      </c>
      <c r="AJ10" s="17"/>
    </row>
    <row r="11" spans="1:40" ht="15.75">
      <c r="B11" s="13" t="s">
        <v>52</v>
      </c>
      <c r="C11" s="14">
        <v>0.61</v>
      </c>
      <c r="D11" s="15">
        <v>0</v>
      </c>
      <c r="E11" s="15">
        <v>0</v>
      </c>
      <c r="F11" s="15">
        <v>10</v>
      </c>
      <c r="G11" s="15">
        <v>90</v>
      </c>
      <c r="H11" s="13">
        <v>0.38</v>
      </c>
      <c r="I11" s="13">
        <v>0.95</v>
      </c>
      <c r="J11" s="13">
        <v>1.71</v>
      </c>
      <c r="K11" s="13">
        <v>3.14</v>
      </c>
      <c r="L11" s="14">
        <f t="shared" si="4"/>
        <v>1.8281700000000001</v>
      </c>
      <c r="M11" s="13">
        <v>0.13</v>
      </c>
      <c r="N11" s="13">
        <v>0.28000000000000003</v>
      </c>
      <c r="O11" s="13">
        <v>0.52</v>
      </c>
      <c r="P11" s="13">
        <v>1.34</v>
      </c>
      <c r="Q11" s="14">
        <f t="shared" si="5"/>
        <v>6.3948333333333329E-2</v>
      </c>
      <c r="R11" s="14">
        <f t="shared" si="2"/>
        <v>7.5843333333333332E-2</v>
      </c>
      <c r="S11" s="14">
        <f t="shared" si="3"/>
        <v>0.11290083333333333</v>
      </c>
      <c r="AD11" s="20">
        <f t="shared" si="0"/>
        <v>0.17446000000000006</v>
      </c>
      <c r="AE11" s="20">
        <f t="shared" si="1"/>
        <v>1.0980000000000004E-2</v>
      </c>
    </row>
    <row r="12" spans="1:40" ht="15.75">
      <c r="B12" s="13" t="s">
        <v>53</v>
      </c>
      <c r="C12" s="14">
        <v>0.32</v>
      </c>
      <c r="D12" s="15">
        <v>0</v>
      </c>
      <c r="E12" s="15">
        <v>0</v>
      </c>
      <c r="F12" s="15">
        <v>10</v>
      </c>
      <c r="G12" s="15">
        <v>90</v>
      </c>
      <c r="H12" s="13">
        <v>0.38</v>
      </c>
      <c r="I12" s="13">
        <v>0.95</v>
      </c>
      <c r="J12" s="13">
        <v>1.71</v>
      </c>
      <c r="K12" s="13">
        <v>3.14</v>
      </c>
      <c r="L12" s="14">
        <f t="shared" si="4"/>
        <v>0.95904</v>
      </c>
      <c r="M12" s="13">
        <v>0.13</v>
      </c>
      <c r="N12" s="13">
        <v>0.28000000000000003</v>
      </c>
      <c r="O12" s="13">
        <v>0.52</v>
      </c>
      <c r="P12" s="13">
        <v>1.34</v>
      </c>
      <c r="Q12" s="14">
        <f t="shared" si="5"/>
        <v>3.3546666666666676E-2</v>
      </c>
      <c r="R12" s="14">
        <f t="shared" si="2"/>
        <v>3.9786666666666679E-2</v>
      </c>
      <c r="S12" s="14">
        <f t="shared" si="3"/>
        <v>5.9226666666666677E-2</v>
      </c>
      <c r="AD12" s="20">
        <f t="shared" si="0"/>
        <v>9.1519999999999935E-2</v>
      </c>
      <c r="AE12" s="20">
        <f t="shared" si="1"/>
        <v>5.7600000000000082E-3</v>
      </c>
    </row>
    <row r="13" spans="1:40" ht="15.75">
      <c r="B13" s="13" t="s">
        <v>54</v>
      </c>
      <c r="C13" s="14">
        <v>0.44</v>
      </c>
      <c r="D13" s="15">
        <v>0</v>
      </c>
      <c r="E13" s="15">
        <v>0</v>
      </c>
      <c r="F13" s="15">
        <v>10</v>
      </c>
      <c r="G13" s="15">
        <v>90</v>
      </c>
      <c r="H13" s="13">
        <v>0.38</v>
      </c>
      <c r="I13" s="13">
        <v>0.95</v>
      </c>
      <c r="J13" s="13">
        <v>1.71</v>
      </c>
      <c r="K13" s="13">
        <v>3.14</v>
      </c>
      <c r="L13" s="14">
        <f t="shared" si="4"/>
        <v>1.3186799999999999</v>
      </c>
      <c r="M13" s="13">
        <v>0.13</v>
      </c>
      <c r="N13" s="13">
        <v>0.28000000000000003</v>
      </c>
      <c r="O13" s="13">
        <v>0.52</v>
      </c>
      <c r="P13" s="13">
        <v>1.34</v>
      </c>
      <c r="Q13" s="14">
        <f t="shared" si="5"/>
        <v>4.612666666666667E-2</v>
      </c>
      <c r="R13" s="14">
        <f t="shared" si="2"/>
        <v>5.4706666666666667E-2</v>
      </c>
      <c r="S13" s="14">
        <f t="shared" si="3"/>
        <v>8.1436666666666671E-2</v>
      </c>
      <c r="AD13" s="20">
        <f t="shared" si="0"/>
        <v>3.1459999999999821E-2</v>
      </c>
      <c r="AE13" s="20">
        <f t="shared" si="1"/>
        <v>1.9799999999999957E-3</v>
      </c>
    </row>
    <row r="14" spans="1:40" ht="15.75">
      <c r="B14" s="13" t="s">
        <v>55</v>
      </c>
      <c r="C14" s="14">
        <v>0.11</v>
      </c>
      <c r="D14" s="15">
        <v>0</v>
      </c>
      <c r="E14" s="15">
        <v>0</v>
      </c>
      <c r="F14" s="15">
        <v>10</v>
      </c>
      <c r="G14" s="15">
        <v>90</v>
      </c>
      <c r="H14" s="13">
        <v>0.38</v>
      </c>
      <c r="I14" s="13">
        <v>0.95</v>
      </c>
      <c r="J14" s="13">
        <v>1.71</v>
      </c>
      <c r="K14" s="13">
        <v>3.14</v>
      </c>
      <c r="L14" s="14">
        <f t="shared" si="4"/>
        <v>0.32966999999999996</v>
      </c>
      <c r="M14" s="13">
        <v>0.13</v>
      </c>
      <c r="N14" s="13">
        <v>0.28000000000000003</v>
      </c>
      <c r="O14" s="13">
        <v>0.52</v>
      </c>
      <c r="P14" s="13">
        <v>1.34</v>
      </c>
      <c r="Q14" s="14">
        <f t="shared" si="5"/>
        <v>1.1531666666666667E-2</v>
      </c>
      <c r="R14" s="14">
        <f t="shared" si="2"/>
        <v>1.3676666666666667E-2</v>
      </c>
      <c r="S14" s="14">
        <f t="shared" si="3"/>
        <v>2.0359166666666668E-2</v>
      </c>
      <c r="AD14" s="20">
        <f t="shared" si="0"/>
        <v>0</v>
      </c>
      <c r="AE14" s="20">
        <f t="shared" si="1"/>
        <v>0</v>
      </c>
    </row>
    <row r="15" spans="1:40" ht="15.75">
      <c r="B15" s="13" t="s">
        <v>56</v>
      </c>
      <c r="C15" s="14">
        <v>3.72</v>
      </c>
      <c r="D15" s="15">
        <v>0</v>
      </c>
      <c r="E15" s="15">
        <v>0</v>
      </c>
      <c r="F15" s="15">
        <v>50</v>
      </c>
      <c r="G15" s="15">
        <v>50</v>
      </c>
      <c r="H15" s="13">
        <v>0.38</v>
      </c>
      <c r="I15" s="13">
        <v>0.95</v>
      </c>
      <c r="J15" s="13">
        <v>1.71</v>
      </c>
      <c r="K15" s="13">
        <v>3.14</v>
      </c>
      <c r="L15" s="14">
        <f t="shared" si="4"/>
        <v>9.0210000000000008</v>
      </c>
      <c r="M15" s="13">
        <v>0.13</v>
      </c>
      <c r="N15" s="13">
        <v>0.28000000000000003</v>
      </c>
      <c r="O15" s="13">
        <v>0.52</v>
      </c>
      <c r="P15" s="13">
        <v>1.34</v>
      </c>
      <c r="Q15" s="14">
        <f t="shared" si="5"/>
        <v>0.28830000000000006</v>
      </c>
      <c r="R15" s="14">
        <f t="shared" si="2"/>
        <v>0.32860000000000006</v>
      </c>
      <c r="S15" s="14">
        <f t="shared" si="3"/>
        <v>0.45415000000000005</v>
      </c>
      <c r="AD15" s="20">
        <f t="shared" si="0"/>
        <v>0</v>
      </c>
      <c r="AE15" s="20">
        <f t="shared" si="1"/>
        <v>0</v>
      </c>
    </row>
    <row r="16" spans="1:40" ht="15.75">
      <c r="B16" s="13" t="s">
        <v>57</v>
      </c>
      <c r="C16" s="14">
        <v>10.43</v>
      </c>
      <c r="D16" s="224" t="s">
        <v>58</v>
      </c>
      <c r="E16" s="225"/>
      <c r="F16" s="225"/>
      <c r="G16" s="225"/>
      <c r="H16" s="225"/>
      <c r="I16" s="225"/>
      <c r="J16" s="225"/>
      <c r="K16" s="226"/>
      <c r="L16" s="23">
        <v>15</v>
      </c>
      <c r="M16" s="227"/>
      <c r="N16" s="228"/>
      <c r="O16" s="228"/>
      <c r="P16" s="229"/>
      <c r="Q16" s="14"/>
      <c r="R16" s="14"/>
      <c r="S16" s="14"/>
      <c r="AD16" s="19">
        <f t="shared" si="0"/>
        <v>0</v>
      </c>
      <c r="AE16" s="19">
        <f t="shared" si="1"/>
        <v>0</v>
      </c>
    </row>
    <row r="17" spans="2:34" ht="15.75">
      <c r="B17" s="13" t="s">
        <v>59</v>
      </c>
      <c r="C17" s="14">
        <v>4.38</v>
      </c>
      <c r="D17" s="15">
        <v>0</v>
      </c>
      <c r="E17" s="15">
        <v>0</v>
      </c>
      <c r="F17" s="15">
        <v>10</v>
      </c>
      <c r="G17" s="15">
        <v>90</v>
      </c>
      <c r="H17" s="13">
        <v>0.38</v>
      </c>
      <c r="I17" s="13">
        <v>0.95</v>
      </c>
      <c r="J17" s="13">
        <v>1.71</v>
      </c>
      <c r="K17" s="13">
        <v>3.14</v>
      </c>
      <c r="L17" s="14">
        <f>((C17*D17*H17)+(C17*E17*I17)+(C17*F17*J17)+(C17*G17*K17))/100</f>
        <v>13.126859999999999</v>
      </c>
      <c r="M17" s="13">
        <v>0.13</v>
      </c>
      <c r="N17" s="13">
        <v>0.28000000000000003</v>
      </c>
      <c r="O17" s="13">
        <v>0.52</v>
      </c>
      <c r="P17" s="13">
        <v>1.34</v>
      </c>
      <c r="Q17" s="14">
        <f>((C17*D17*M17)+(C17*E17*N17)+(C17*F17*O17)+(C17*G17*P17))/1200</f>
        <v>0.45917000000000002</v>
      </c>
      <c r="R17" s="14">
        <f>Q17+((C17*G17/100)*((1.83-1.57)/12))</f>
        <v>0.54458000000000006</v>
      </c>
      <c r="S17" s="14">
        <f>Q17+((C17*G17/100)*((2.64-1.57)/12))</f>
        <v>0.81066499999999997</v>
      </c>
      <c r="AA17" t="s">
        <v>60</v>
      </c>
      <c r="AD17" s="19">
        <f t="shared" si="0"/>
        <v>0</v>
      </c>
      <c r="AE17" s="19">
        <f t="shared" si="1"/>
        <v>0</v>
      </c>
    </row>
    <row r="18" spans="2:34" ht="15.75">
      <c r="B18" s="13" t="s">
        <v>61</v>
      </c>
      <c r="C18" s="14">
        <v>0.85</v>
      </c>
      <c r="D18" s="15">
        <v>0</v>
      </c>
      <c r="E18" s="15">
        <v>0</v>
      </c>
      <c r="F18" s="15">
        <v>15</v>
      </c>
      <c r="G18" s="15">
        <v>85</v>
      </c>
      <c r="H18" s="13">
        <v>0.38</v>
      </c>
      <c r="I18" s="13">
        <v>0.95</v>
      </c>
      <c r="J18" s="13">
        <v>1.71</v>
      </c>
      <c r="K18" s="13">
        <v>3.14</v>
      </c>
      <c r="L18" s="14">
        <f>((C18*D18*H18)+(C18*E18*I18)+(C18*F18*J18)+(C18*G18*K18))/100</f>
        <v>2.486675</v>
      </c>
      <c r="M18" s="13">
        <v>0.13</v>
      </c>
      <c r="N18" s="13">
        <v>0.28000000000000003</v>
      </c>
      <c r="O18" s="13">
        <v>0.52</v>
      </c>
      <c r="P18" s="13">
        <v>1.34</v>
      </c>
      <c r="Q18" s="14">
        <f>((C18*D18*M18)+(C18*E18*N18)+(C18*F18*O18)+(C18*G18*P18))/1200</f>
        <v>8.6204166666666679E-2</v>
      </c>
      <c r="R18" s="14">
        <f>Q18+((C18*G18/100)*((1.83-1.57)/12))</f>
        <v>0.10185833333333334</v>
      </c>
      <c r="S18" s="14">
        <f>Q18+((C18*G18/100)*((2.64-1.57)/12))</f>
        <v>0.15062708333333336</v>
      </c>
      <c r="AD18" s="20">
        <f t="shared" si="0"/>
        <v>0</v>
      </c>
      <c r="AE18" s="20">
        <f t="shared" si="1"/>
        <v>0</v>
      </c>
    </row>
    <row r="19" spans="2:34" ht="15.75">
      <c r="B19" s="13" t="s">
        <v>62</v>
      </c>
      <c r="C19" s="14">
        <v>2</v>
      </c>
      <c r="D19" s="15">
        <v>0</v>
      </c>
      <c r="E19" s="15">
        <v>100</v>
      </c>
      <c r="F19" s="15">
        <v>0</v>
      </c>
      <c r="G19" s="15">
        <v>0</v>
      </c>
      <c r="H19" s="13">
        <v>0.38</v>
      </c>
      <c r="I19" s="13">
        <v>0.95</v>
      </c>
      <c r="J19" s="13">
        <v>1.71</v>
      </c>
      <c r="K19" s="13">
        <v>3.14</v>
      </c>
      <c r="L19" s="14">
        <f>((C19*D19*H19)+(C19*E19*I19)+(C19*F19*J19)+(C19*G19*K19))/100</f>
        <v>1.9</v>
      </c>
      <c r="M19" s="13">
        <v>0.13</v>
      </c>
      <c r="N19" s="13">
        <v>0.28000000000000003</v>
      </c>
      <c r="O19" s="13">
        <v>0.52</v>
      </c>
      <c r="P19" s="13">
        <v>1.34</v>
      </c>
      <c r="Q19" s="14">
        <f>((C19*D19*M19)+(C19*E19*N19)+(C19*F19*O19)+(C19*G19*P19))/1200</f>
        <v>4.6666666666666676E-2</v>
      </c>
      <c r="R19" s="14">
        <f>Q19+((C19*G19/100)*((1.83-1.57)/12))</f>
        <v>4.6666666666666676E-2</v>
      </c>
      <c r="S19" s="14">
        <f>Q19+((C19*G19/100)*((2.64-1.57)/12))</f>
        <v>4.6666666666666676E-2</v>
      </c>
      <c r="AD19" s="20">
        <f t="shared" si="0"/>
        <v>0</v>
      </c>
      <c r="AE19" s="20">
        <f t="shared" si="1"/>
        <v>0</v>
      </c>
    </row>
    <row r="20" spans="2:34" ht="15.75">
      <c r="B20" s="13" t="s">
        <v>63</v>
      </c>
      <c r="C20" s="14">
        <v>0.48</v>
      </c>
      <c r="D20" s="15">
        <v>0</v>
      </c>
      <c r="E20" s="15">
        <v>0</v>
      </c>
      <c r="F20" s="15">
        <v>80</v>
      </c>
      <c r="G20" s="15">
        <v>20</v>
      </c>
      <c r="H20" s="13">
        <v>0.38</v>
      </c>
      <c r="I20" s="13">
        <v>0.95</v>
      </c>
      <c r="J20" s="13">
        <v>1.71</v>
      </c>
      <c r="K20" s="13">
        <v>3.14</v>
      </c>
      <c r="L20" s="14">
        <f>((C20*D20*H20)+(C20*E20*I20)+(C20*F20*J20)+(C20*G20*K20))/100</f>
        <v>0.95807999999999993</v>
      </c>
      <c r="M20" s="13">
        <v>0.13</v>
      </c>
      <c r="N20" s="13">
        <v>0.28000000000000003</v>
      </c>
      <c r="O20" s="13">
        <v>0.52</v>
      </c>
      <c r="P20" s="13">
        <v>1.34</v>
      </c>
      <c r="Q20" s="14">
        <f>((C20*D20*M20)+(C20*E20*N20)+(C20*F20*O20)+(C20*G20*P20))/1200</f>
        <v>2.7359999999999999E-2</v>
      </c>
      <c r="R20" s="14">
        <f>Q20+((C20*G20/100)*((1.83-1.57)/12))</f>
        <v>2.9440000000000001E-2</v>
      </c>
      <c r="S20" s="14">
        <f>Q20+((C20*G20/100)*((2.64-1.57)/12))</f>
        <v>3.5920000000000001E-2</v>
      </c>
      <c r="AA20" s="17">
        <f>SUM(L5,L6,L21)</f>
        <v>9.7702200000000001</v>
      </c>
      <c r="AB20" s="17">
        <f>SUM(R5,R6,R21)</f>
        <v>0.40532666666666672</v>
      </c>
      <c r="AD20" s="20">
        <f t="shared" si="0"/>
        <v>0</v>
      </c>
      <c r="AE20" s="20">
        <f t="shared" si="1"/>
        <v>0</v>
      </c>
      <c r="AG20" s="17">
        <f>SUM(AD11:AD15,AD18,AD19,AD20)</f>
        <v>0.29743999999999982</v>
      </c>
      <c r="AH20" s="17">
        <f>SUM(AE11:AE15,AE18,AE19,AE20)</f>
        <v>1.8720000000000007E-2</v>
      </c>
    </row>
    <row r="21" spans="2:34" ht="15.75">
      <c r="B21" s="3" t="s">
        <v>64</v>
      </c>
      <c r="C21" s="4">
        <v>1.65</v>
      </c>
      <c r="D21" s="64">
        <v>0</v>
      </c>
      <c r="E21" s="64">
        <v>0</v>
      </c>
      <c r="F21" s="64">
        <v>10</v>
      </c>
      <c r="G21" s="64">
        <v>90</v>
      </c>
      <c r="H21" s="13">
        <v>0.38</v>
      </c>
      <c r="I21" s="13">
        <v>0.95</v>
      </c>
      <c r="J21" s="13">
        <v>1.71</v>
      </c>
      <c r="K21" s="13">
        <v>3.14</v>
      </c>
      <c r="L21" s="14">
        <f>((C21*D21*H21)+(C21*E21*I21)+(C21*F21*J21)+(C21*G21*K21))/100</f>
        <v>4.9450500000000002</v>
      </c>
      <c r="M21" s="13">
        <v>0.13</v>
      </c>
      <c r="N21" s="13">
        <v>0.28000000000000003</v>
      </c>
      <c r="O21" s="13">
        <v>0.52</v>
      </c>
      <c r="P21" s="13">
        <v>1.34</v>
      </c>
      <c r="Q21" s="14">
        <f>((C21*D21*M21)+(C21*E21*N21)+(C21*F21*O21)+(C21*G21*P21))/1200</f>
        <v>0.17297500000000002</v>
      </c>
      <c r="R21" s="14">
        <f>Q21+((C21*G21/100)*((1.83-1.57)/12))</f>
        <v>0.20515000000000003</v>
      </c>
      <c r="S21" s="14">
        <f>Q21+((C21*G21/100)*((2.64-1.57)/12))</f>
        <v>0.30538750000000003</v>
      </c>
      <c r="AA21" s="17">
        <f>SUM(L7,L9,L10,L16,L17)-19.5</f>
        <v>15.070410000000003</v>
      </c>
      <c r="AB21" s="17">
        <f>SUM(R7,R9,R10,R17)</f>
        <v>0.81189666666666671</v>
      </c>
    </row>
    <row r="22" spans="2:34" ht="15.75">
      <c r="B22" s="16"/>
    </row>
    <row r="23" spans="2:34" ht="15.75">
      <c r="B23" s="16"/>
      <c r="AD23" s="17">
        <f>SUM(AD7:AD20)</f>
        <v>0.91234000000000037</v>
      </c>
      <c r="AE23" s="17">
        <f>SUM(AE7:AE20)</f>
        <v>5.742000000000002E-2</v>
      </c>
    </row>
    <row r="24" spans="2:34">
      <c r="AB24" t="s">
        <v>65</v>
      </c>
      <c r="AC24" t="s">
        <v>66</v>
      </c>
    </row>
    <row r="25" spans="2:34" ht="18.75">
      <c r="B25" s="220" t="s">
        <v>67</v>
      </c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0"/>
      <c r="N25" s="220"/>
      <c r="O25" s="220"/>
      <c r="P25" s="220"/>
      <c r="Q25" s="220"/>
      <c r="R25" s="220"/>
      <c r="S25" s="75"/>
      <c r="AB25" s="17">
        <f>SUM(L7,L9,L10,L16,L17*0.43)</f>
        <v>27.088099800000002</v>
      </c>
      <c r="AC25" s="17">
        <f>SUM(L30,L32,L33,L39,L40*0.43)</f>
        <v>26.4731998</v>
      </c>
    </row>
    <row r="26" spans="2:34" ht="15.75">
      <c r="B26" s="222" t="s">
        <v>0</v>
      </c>
      <c r="C26" s="223" t="s">
        <v>1</v>
      </c>
      <c r="D26" s="218" t="s">
        <v>2</v>
      </c>
      <c r="E26" s="218"/>
      <c r="F26" s="218"/>
      <c r="G26" s="218"/>
      <c r="H26" s="218" t="s">
        <v>3</v>
      </c>
      <c r="I26" s="218"/>
      <c r="J26" s="218"/>
      <c r="K26" s="218"/>
      <c r="L26" s="223" t="s">
        <v>4</v>
      </c>
      <c r="M26" s="218" t="s">
        <v>5</v>
      </c>
      <c r="N26" s="219"/>
      <c r="O26" s="219"/>
      <c r="P26" s="219"/>
      <c r="Q26" s="215" t="s">
        <v>6</v>
      </c>
      <c r="R26" s="215" t="s">
        <v>7</v>
      </c>
      <c r="S26" s="215" t="s">
        <v>8</v>
      </c>
    </row>
    <row r="27" spans="2:34" ht="47.25">
      <c r="B27" s="222"/>
      <c r="C27" s="223"/>
      <c r="D27" s="74" t="s">
        <v>9</v>
      </c>
      <c r="E27" s="74" t="s">
        <v>10</v>
      </c>
      <c r="F27" s="76" t="s">
        <v>11</v>
      </c>
      <c r="G27" s="76" t="s">
        <v>12</v>
      </c>
      <c r="H27" s="74" t="s">
        <v>13</v>
      </c>
      <c r="I27" s="74" t="s">
        <v>14</v>
      </c>
      <c r="J27" s="74" t="s">
        <v>15</v>
      </c>
      <c r="K27" s="74" t="s">
        <v>16</v>
      </c>
      <c r="L27" s="223"/>
      <c r="M27" s="74" t="s">
        <v>17</v>
      </c>
      <c r="N27" s="74" t="s">
        <v>18</v>
      </c>
      <c r="O27" s="74" t="s">
        <v>19</v>
      </c>
      <c r="P27" s="74" t="s">
        <v>20</v>
      </c>
      <c r="Q27" s="215"/>
      <c r="R27" s="215"/>
      <c r="S27" s="215"/>
      <c r="AA27" s="69">
        <f>SUM(L5:L6)+L21</f>
        <v>9.7702200000000001</v>
      </c>
      <c r="AB27" s="69">
        <f>SUM(R5:R6)+R21</f>
        <v>0.40532666666666672</v>
      </c>
      <c r="AC27" s="69">
        <f>SUM(S5:S6)+S21</f>
        <v>0.60337166666666675</v>
      </c>
    </row>
    <row r="28" spans="2:34" ht="15.75">
      <c r="B28" s="13" t="s">
        <v>30</v>
      </c>
      <c r="C28" s="14">
        <v>0.82</v>
      </c>
      <c r="D28" s="15">
        <v>0</v>
      </c>
      <c r="E28" s="15">
        <v>0</v>
      </c>
      <c r="F28" s="15">
        <v>30</v>
      </c>
      <c r="G28" s="15">
        <v>70</v>
      </c>
      <c r="H28" s="13">
        <v>0.38</v>
      </c>
      <c r="I28" s="13">
        <v>0.95</v>
      </c>
      <c r="J28" s="13">
        <v>1.71</v>
      </c>
      <c r="K28" s="13">
        <v>3.14</v>
      </c>
      <c r="L28" s="14">
        <f>((C28*D28*H28)+(C28*E28*I28)+(C28*F28*J28)+(C28*G28*K28))/100</f>
        <v>2.22302</v>
      </c>
      <c r="M28" s="13">
        <v>0.13</v>
      </c>
      <c r="N28" s="13">
        <v>0.28000000000000003</v>
      </c>
      <c r="O28" s="13">
        <v>0.52</v>
      </c>
      <c r="P28" s="13">
        <v>1.34</v>
      </c>
      <c r="Q28" s="14">
        <f>((C28*D28*M28)+(C28*E28*N28)+(C28*F28*O28)+(C28*G28*P28))/1200</f>
        <v>7.4756666666666666E-2</v>
      </c>
      <c r="R28" s="14">
        <f t="shared" ref="R28:R44" si="6">Q28+((C28*G28/100)*((1.83-1.57)/12))</f>
        <v>8.7193333333333331E-2</v>
      </c>
      <c r="S28" s="14">
        <f t="shared" ref="S28:S38" si="7">Q28+((C28*G28/100)*((2.64-1.57)/12))</f>
        <v>0.12593833333333332</v>
      </c>
    </row>
    <row r="29" spans="2:34" ht="15.75">
      <c r="B29" s="13" t="s">
        <v>31</v>
      </c>
      <c r="C29" s="14">
        <v>0.79</v>
      </c>
      <c r="D29" s="15">
        <v>0</v>
      </c>
      <c r="E29" s="15">
        <v>0</v>
      </c>
      <c r="F29" s="15">
        <v>30</v>
      </c>
      <c r="G29" s="15">
        <v>70</v>
      </c>
      <c r="H29" s="13">
        <v>0.38</v>
      </c>
      <c r="I29" s="13">
        <v>0.95</v>
      </c>
      <c r="J29" s="13">
        <v>1.71</v>
      </c>
      <c r="K29" s="13">
        <v>3.14</v>
      </c>
      <c r="L29" s="14">
        <f t="shared" ref="L29:L38" si="8">((C29*D29*H29)+(C29*E29*I29)+(C29*F29*J29)+(C29*G29*K29))/100</f>
        <v>2.1416900000000005</v>
      </c>
      <c r="M29" s="13">
        <v>0.13</v>
      </c>
      <c r="N29" s="13">
        <v>0.28000000000000003</v>
      </c>
      <c r="O29" s="13">
        <v>0.52</v>
      </c>
      <c r="P29" s="13">
        <v>1.34</v>
      </c>
      <c r="Q29" s="14">
        <f t="shared" ref="Q29:Q38" si="9">((C29*D29*M29)+(C29*E29*N29)+(C29*F29*O29)+(C29*G29*P29))/1200</f>
        <v>7.2021666666666664E-2</v>
      </c>
      <c r="R29" s="14">
        <f t="shared" si="6"/>
        <v>8.4003333333333333E-2</v>
      </c>
      <c r="S29" s="14">
        <f t="shared" si="7"/>
        <v>0.12133083333333333</v>
      </c>
      <c r="AB29" t="s">
        <v>68</v>
      </c>
      <c r="AC29" t="s">
        <v>69</v>
      </c>
    </row>
    <row r="30" spans="2:34" ht="15.75">
      <c r="B30" s="13" t="s">
        <v>48</v>
      </c>
      <c r="C30" s="14">
        <v>1.51</v>
      </c>
      <c r="D30" s="15">
        <v>0</v>
      </c>
      <c r="E30" s="15">
        <v>0</v>
      </c>
      <c r="F30" s="15">
        <v>30</v>
      </c>
      <c r="G30" s="15">
        <v>70</v>
      </c>
      <c r="H30" s="13">
        <v>0.38</v>
      </c>
      <c r="I30" s="13">
        <v>0.95</v>
      </c>
      <c r="J30" s="13">
        <v>1.71</v>
      </c>
      <c r="K30" s="13">
        <v>3.14</v>
      </c>
      <c r="L30" s="14">
        <f t="shared" si="8"/>
        <v>4.09361</v>
      </c>
      <c r="M30" s="13">
        <v>0.13</v>
      </c>
      <c r="N30" s="13">
        <v>0.28000000000000003</v>
      </c>
      <c r="O30" s="13">
        <v>0.52</v>
      </c>
      <c r="P30" s="13">
        <v>1.34</v>
      </c>
      <c r="Q30" s="14">
        <f t="shared" si="9"/>
        <v>0.13766166666666668</v>
      </c>
      <c r="R30" s="14">
        <f t="shared" si="6"/>
        <v>0.16056333333333334</v>
      </c>
      <c r="S30" s="14">
        <f t="shared" si="7"/>
        <v>0.23191083333333334</v>
      </c>
      <c r="AB30" s="17">
        <f>SUM(L11,L12,L13,L14,L15,L18,L19,L20)</f>
        <v>18.801314999999999</v>
      </c>
      <c r="AC30" s="17">
        <f>SUM(L36,L37,L38,L41,L42,L43)</f>
        <v>15.982645000000002</v>
      </c>
    </row>
    <row r="31" spans="2:34" ht="15.75">
      <c r="B31" s="13" t="s">
        <v>49</v>
      </c>
      <c r="C31" s="14">
        <v>0.74</v>
      </c>
      <c r="D31" s="15">
        <v>0</v>
      </c>
      <c r="E31" s="15">
        <v>0</v>
      </c>
      <c r="F31" s="15">
        <v>10</v>
      </c>
      <c r="G31" s="15">
        <v>90</v>
      </c>
      <c r="H31" s="13">
        <v>0.38</v>
      </c>
      <c r="I31" s="13">
        <v>0.95</v>
      </c>
      <c r="J31" s="13">
        <v>1.71</v>
      </c>
      <c r="K31" s="13">
        <v>3.14</v>
      </c>
      <c r="L31" s="14">
        <f t="shared" si="8"/>
        <v>2.2177799999999999</v>
      </c>
      <c r="M31" s="13">
        <v>0.13</v>
      </c>
      <c r="N31" s="13">
        <v>0.28000000000000003</v>
      </c>
      <c r="O31" s="13">
        <v>0.52</v>
      </c>
      <c r="P31" s="13">
        <v>1.34</v>
      </c>
      <c r="Q31" s="14">
        <f t="shared" si="9"/>
        <v>7.7576666666666669E-2</v>
      </c>
      <c r="R31" s="14">
        <f t="shared" si="6"/>
        <v>9.2006666666666667E-2</v>
      </c>
      <c r="S31" s="14">
        <f t="shared" si="7"/>
        <v>0.13696166666666665</v>
      </c>
    </row>
    <row r="32" spans="2:34" ht="15.75">
      <c r="B32" s="13" t="s">
        <v>50</v>
      </c>
      <c r="C32" s="14">
        <v>0.28000000000000003</v>
      </c>
      <c r="D32" s="15">
        <v>0</v>
      </c>
      <c r="E32" s="15">
        <v>0</v>
      </c>
      <c r="F32" s="15">
        <v>30</v>
      </c>
      <c r="G32" s="15">
        <v>70</v>
      </c>
      <c r="H32" s="13">
        <v>0.38</v>
      </c>
      <c r="I32" s="13">
        <v>0.95</v>
      </c>
      <c r="J32" s="13">
        <v>1.71</v>
      </c>
      <c r="K32" s="13">
        <v>3.14</v>
      </c>
      <c r="L32" s="14">
        <f t="shared" si="8"/>
        <v>0.75907999999999998</v>
      </c>
      <c r="M32" s="13">
        <v>0.13</v>
      </c>
      <c r="N32" s="13">
        <v>0.28000000000000003</v>
      </c>
      <c r="O32" s="13">
        <v>0.52</v>
      </c>
      <c r="P32" s="13">
        <v>1.34</v>
      </c>
      <c r="Q32" s="14">
        <f t="shared" si="9"/>
        <v>2.552666666666667E-2</v>
      </c>
      <c r="R32" s="14">
        <f t="shared" si="6"/>
        <v>2.9773333333333336E-2</v>
      </c>
      <c r="S32" s="14">
        <f t="shared" si="7"/>
        <v>4.3003333333333338E-2</v>
      </c>
      <c r="AA32" s="17">
        <f>SUM(L30:L33,L39,L40)</f>
        <v>36.173290000000001</v>
      </c>
    </row>
    <row r="33" spans="2:34" ht="15.75">
      <c r="B33" s="13" t="s">
        <v>51</v>
      </c>
      <c r="C33" s="14">
        <v>0.36</v>
      </c>
      <c r="D33" s="15">
        <v>0</v>
      </c>
      <c r="E33" s="15">
        <v>0</v>
      </c>
      <c r="F33" s="15">
        <v>30</v>
      </c>
      <c r="G33" s="15">
        <v>70</v>
      </c>
      <c r="H33" s="13">
        <v>0.38</v>
      </c>
      <c r="I33" s="13">
        <v>0.95</v>
      </c>
      <c r="J33" s="13">
        <v>1.71</v>
      </c>
      <c r="K33" s="13">
        <v>3.14</v>
      </c>
      <c r="L33" s="14">
        <f t="shared" si="8"/>
        <v>0.97596000000000005</v>
      </c>
      <c r="M33" s="13">
        <v>0.13</v>
      </c>
      <c r="N33" s="13">
        <v>0.28000000000000003</v>
      </c>
      <c r="O33" s="13">
        <v>0.52</v>
      </c>
      <c r="P33" s="13">
        <v>1.34</v>
      </c>
      <c r="Q33" s="14">
        <f t="shared" si="9"/>
        <v>3.2820000000000002E-2</v>
      </c>
      <c r="R33" s="14">
        <f t="shared" si="6"/>
        <v>3.8280000000000002E-2</v>
      </c>
      <c r="S33" s="14">
        <f t="shared" si="7"/>
        <v>5.5290000000000006E-2</v>
      </c>
    </row>
    <row r="34" spans="2:34" ht="15.75">
      <c r="B34" s="13" t="s">
        <v>52</v>
      </c>
      <c r="C34" s="14">
        <v>0.61</v>
      </c>
      <c r="D34" s="15">
        <v>0</v>
      </c>
      <c r="E34" s="15">
        <v>0</v>
      </c>
      <c r="F34" s="15">
        <v>30</v>
      </c>
      <c r="G34" s="15">
        <v>70</v>
      </c>
      <c r="H34" s="13">
        <v>0.38</v>
      </c>
      <c r="I34" s="13">
        <v>0.95</v>
      </c>
      <c r="J34" s="13">
        <v>1.71</v>
      </c>
      <c r="K34" s="13">
        <v>3.14</v>
      </c>
      <c r="L34" s="14">
        <f t="shared" si="8"/>
        <v>1.65371</v>
      </c>
      <c r="M34" s="13">
        <v>0.13</v>
      </c>
      <c r="N34" s="13">
        <v>0.28000000000000003</v>
      </c>
      <c r="O34" s="13">
        <v>0.52</v>
      </c>
      <c r="P34" s="13">
        <v>1.34</v>
      </c>
      <c r="Q34" s="14">
        <f t="shared" si="9"/>
        <v>5.5611666666666663E-2</v>
      </c>
      <c r="R34" s="14">
        <f t="shared" si="6"/>
        <v>6.4863333333333328E-2</v>
      </c>
      <c r="S34" s="14">
        <f t="shared" si="7"/>
        <v>9.3685833333333329E-2</v>
      </c>
      <c r="AC34">
        <f>6.86-6.39</f>
        <v>0.47000000000000064</v>
      </c>
    </row>
    <row r="35" spans="2:34" ht="15.75">
      <c r="B35" s="13" t="s">
        <v>53</v>
      </c>
      <c r="C35" s="14">
        <v>0.32</v>
      </c>
      <c r="D35" s="15">
        <v>0</v>
      </c>
      <c r="E35" s="15">
        <v>0</v>
      </c>
      <c r="F35" s="15">
        <v>30</v>
      </c>
      <c r="G35" s="15">
        <v>70</v>
      </c>
      <c r="H35" s="13">
        <v>0.38</v>
      </c>
      <c r="I35" s="13">
        <v>0.95</v>
      </c>
      <c r="J35" s="13">
        <v>1.71</v>
      </c>
      <c r="K35" s="13">
        <v>3.14</v>
      </c>
      <c r="L35" s="14">
        <f t="shared" si="8"/>
        <v>0.86752000000000007</v>
      </c>
      <c r="M35" s="13">
        <v>0.13</v>
      </c>
      <c r="N35" s="13">
        <v>0.28000000000000003</v>
      </c>
      <c r="O35" s="13">
        <v>0.52</v>
      </c>
      <c r="P35" s="13">
        <v>1.34</v>
      </c>
      <c r="Q35" s="14">
        <f t="shared" si="9"/>
        <v>2.9173333333333336E-2</v>
      </c>
      <c r="R35" s="14">
        <f t="shared" si="6"/>
        <v>3.402666666666667E-2</v>
      </c>
      <c r="S35" s="14">
        <f t="shared" si="7"/>
        <v>4.9146666666666672E-2</v>
      </c>
    </row>
    <row r="36" spans="2:34" ht="15.75">
      <c r="B36" s="13" t="s">
        <v>54</v>
      </c>
      <c r="C36" s="14">
        <v>0.44</v>
      </c>
      <c r="D36" s="15">
        <v>0</v>
      </c>
      <c r="E36" s="15">
        <v>0</v>
      </c>
      <c r="F36" s="15">
        <v>15</v>
      </c>
      <c r="G36" s="15">
        <v>85</v>
      </c>
      <c r="H36" s="13">
        <v>0.38</v>
      </c>
      <c r="I36" s="13">
        <v>0.95</v>
      </c>
      <c r="J36" s="13">
        <v>1.71</v>
      </c>
      <c r="K36" s="13">
        <v>3.14</v>
      </c>
      <c r="L36" s="14">
        <f>((C36*D36*H36)+(C36*E36*I36)+(C36*F36*J36)+(C36*G36*K36))/100</f>
        <v>1.28722</v>
      </c>
      <c r="M36" s="13">
        <v>0.13</v>
      </c>
      <c r="N36" s="13">
        <v>0.28000000000000003</v>
      </c>
      <c r="O36" s="13">
        <v>0.52</v>
      </c>
      <c r="P36" s="13">
        <v>1.34</v>
      </c>
      <c r="Q36" s="14">
        <f t="shared" si="9"/>
        <v>4.4623333333333334E-2</v>
      </c>
      <c r="R36" s="14">
        <f t="shared" si="6"/>
        <v>5.2726666666666672E-2</v>
      </c>
      <c r="S36" s="14">
        <f t="shared" si="7"/>
        <v>7.7971666666666661E-2</v>
      </c>
    </row>
    <row r="37" spans="2:34" ht="15.75">
      <c r="B37" s="13" t="s">
        <v>55</v>
      </c>
      <c r="C37" s="14">
        <v>0.11</v>
      </c>
      <c r="D37" s="15">
        <v>0</v>
      </c>
      <c r="E37" s="15">
        <v>0</v>
      </c>
      <c r="F37" s="15">
        <v>10</v>
      </c>
      <c r="G37" s="15">
        <v>90</v>
      </c>
      <c r="H37" s="13">
        <v>0.38</v>
      </c>
      <c r="I37" s="13">
        <v>0.95</v>
      </c>
      <c r="J37" s="13">
        <v>1.71</v>
      </c>
      <c r="K37" s="13">
        <v>3.14</v>
      </c>
      <c r="L37" s="14">
        <f t="shared" si="8"/>
        <v>0.32966999999999996</v>
      </c>
      <c r="M37" s="13">
        <v>0.13</v>
      </c>
      <c r="N37" s="13">
        <v>0.28000000000000003</v>
      </c>
      <c r="O37" s="13">
        <v>0.52</v>
      </c>
      <c r="P37" s="13">
        <v>1.34</v>
      </c>
      <c r="Q37" s="14">
        <f t="shared" si="9"/>
        <v>1.1531666666666667E-2</v>
      </c>
      <c r="R37" s="14">
        <f t="shared" si="6"/>
        <v>1.3676666666666667E-2</v>
      </c>
      <c r="S37" s="14">
        <f t="shared" si="7"/>
        <v>2.0359166666666668E-2</v>
      </c>
    </row>
    <row r="38" spans="2:34" ht="16.5" customHeight="1">
      <c r="B38" s="13" t="s">
        <v>56</v>
      </c>
      <c r="C38" s="14">
        <v>3.72</v>
      </c>
      <c r="D38" s="15">
        <v>0</v>
      </c>
      <c r="E38" s="15">
        <v>0</v>
      </c>
      <c r="F38" s="15">
        <v>50</v>
      </c>
      <c r="G38" s="15">
        <v>50</v>
      </c>
      <c r="H38" s="13">
        <v>0.38</v>
      </c>
      <c r="I38" s="13">
        <v>0.95</v>
      </c>
      <c r="J38" s="13">
        <v>1.71</v>
      </c>
      <c r="K38" s="13">
        <v>3.14</v>
      </c>
      <c r="L38" s="14">
        <f t="shared" si="8"/>
        <v>9.0210000000000008</v>
      </c>
      <c r="M38" s="13">
        <v>0.13</v>
      </c>
      <c r="N38" s="13">
        <v>0.28000000000000003</v>
      </c>
      <c r="O38" s="13">
        <v>0.52</v>
      </c>
      <c r="P38" s="13">
        <v>1.34</v>
      </c>
      <c r="Q38" s="14">
        <f t="shared" si="9"/>
        <v>0.28830000000000006</v>
      </c>
      <c r="R38" s="14">
        <f t="shared" si="6"/>
        <v>0.32860000000000006</v>
      </c>
      <c r="S38" s="14">
        <f t="shared" si="7"/>
        <v>0.45415000000000005</v>
      </c>
    </row>
    <row r="39" spans="2:34" ht="15.75">
      <c r="B39" s="13" t="s">
        <v>57</v>
      </c>
      <c r="C39" s="14">
        <v>10.43</v>
      </c>
      <c r="D39" s="224" t="s">
        <v>70</v>
      </c>
      <c r="E39" s="225"/>
      <c r="F39" s="225"/>
      <c r="G39" s="225"/>
      <c r="H39" s="225"/>
      <c r="I39" s="225"/>
      <c r="J39" s="225"/>
      <c r="K39" s="226"/>
      <c r="L39" s="23">
        <v>15</v>
      </c>
      <c r="M39" s="227"/>
      <c r="N39" s="228"/>
      <c r="O39" s="228"/>
      <c r="P39" s="229"/>
      <c r="Q39" s="14"/>
      <c r="R39" s="14"/>
      <c r="S39" s="14"/>
    </row>
    <row r="40" spans="2:34" ht="15.75">
      <c r="B40" s="13" t="s">
        <v>59</v>
      </c>
      <c r="C40" s="14">
        <v>4.38</v>
      </c>
      <c r="D40" s="15">
        <v>0</v>
      </c>
      <c r="E40" s="15">
        <v>0</v>
      </c>
      <c r="F40" s="15">
        <v>10</v>
      </c>
      <c r="G40" s="15">
        <v>90</v>
      </c>
      <c r="H40" s="13">
        <v>0.38</v>
      </c>
      <c r="I40" s="13">
        <v>0.95</v>
      </c>
      <c r="J40" s="13">
        <v>1.71</v>
      </c>
      <c r="K40" s="13">
        <v>3.14</v>
      </c>
      <c r="L40" s="14">
        <f>((C40*D40*H40)+(C40*E40*I40)+(C40*F40*J40)+(C40*G40*K40))/100</f>
        <v>13.126859999999999</v>
      </c>
      <c r="M40" s="13">
        <v>0.13</v>
      </c>
      <c r="N40" s="13">
        <v>0.28000000000000003</v>
      </c>
      <c r="O40" s="13">
        <v>0.52</v>
      </c>
      <c r="P40" s="13">
        <v>1.34</v>
      </c>
      <c r="Q40" s="14">
        <f>((C40*D40*M40)+(C40*E40*N40)+(C40*F40*O40)+(C40*G40*P40))/1200</f>
        <v>0.45917000000000002</v>
      </c>
      <c r="R40" s="14">
        <f t="shared" si="6"/>
        <v>0.54458000000000006</v>
      </c>
      <c r="S40" s="14">
        <f>Q40+((C40*G40/100)*((2.64-1.57)/12))</f>
        <v>0.81066499999999997</v>
      </c>
    </row>
    <row r="41" spans="2:34" ht="15.75">
      <c r="B41" s="13" t="s">
        <v>61</v>
      </c>
      <c r="C41" s="14">
        <v>0.85</v>
      </c>
      <c r="D41" s="15">
        <v>0</v>
      </c>
      <c r="E41" s="15">
        <v>0</v>
      </c>
      <c r="F41" s="15">
        <v>15</v>
      </c>
      <c r="G41" s="15">
        <v>85</v>
      </c>
      <c r="H41" s="13">
        <v>0.38</v>
      </c>
      <c r="I41" s="13">
        <v>0.95</v>
      </c>
      <c r="J41" s="13">
        <v>1.71</v>
      </c>
      <c r="K41" s="13">
        <v>3.14</v>
      </c>
      <c r="L41" s="14">
        <f>((C41*D41*H41)+(C41*E41*I41)+(C41*F41*J41)+(C41*G41*K41))/100</f>
        <v>2.486675</v>
      </c>
      <c r="M41" s="13">
        <v>0.13</v>
      </c>
      <c r="N41" s="13">
        <v>0.28000000000000003</v>
      </c>
      <c r="O41" s="13">
        <v>0.52</v>
      </c>
      <c r="P41" s="13">
        <v>1.34</v>
      </c>
      <c r="Q41" s="14">
        <f>((C41*D41*M41)+(C41*E41*N41)+(C41*F41*O41)+(C41*G41*P41))/1200</f>
        <v>8.6204166666666679E-2</v>
      </c>
      <c r="R41" s="14">
        <f t="shared" si="6"/>
        <v>0.10185833333333334</v>
      </c>
      <c r="S41" s="14">
        <f>Q41+((C41*G41/100)*((2.64-1.57)/12))</f>
        <v>0.15062708333333336</v>
      </c>
    </row>
    <row r="42" spans="2:34" ht="15.75">
      <c r="B42" s="13" t="s">
        <v>62</v>
      </c>
      <c r="C42" s="14">
        <v>2</v>
      </c>
      <c r="D42" s="15">
        <v>0</v>
      </c>
      <c r="E42" s="15">
        <v>100</v>
      </c>
      <c r="F42" s="15">
        <v>0</v>
      </c>
      <c r="G42" s="15">
        <v>0</v>
      </c>
      <c r="H42" s="13">
        <v>0.38</v>
      </c>
      <c r="I42" s="13">
        <v>0.95</v>
      </c>
      <c r="J42" s="13">
        <v>1.71</v>
      </c>
      <c r="K42" s="13">
        <v>3.14</v>
      </c>
      <c r="L42" s="14">
        <f>((C42*D42*H42)+(C42*E42*I42)+(C42*F42*J42)+(C42*G42*K42))/100</f>
        <v>1.9</v>
      </c>
      <c r="M42" s="13">
        <v>0.13</v>
      </c>
      <c r="N42" s="13">
        <v>0.28000000000000003</v>
      </c>
      <c r="O42" s="13">
        <v>0.52</v>
      </c>
      <c r="P42" s="13">
        <v>1.34</v>
      </c>
      <c r="Q42" s="14">
        <f>((C42*D42*M42)+(C42*E42*N42)+(C42*F42*O42)+(C42*G42*P42))/1200</f>
        <v>4.6666666666666676E-2</v>
      </c>
      <c r="R42" s="14">
        <f t="shared" si="6"/>
        <v>4.6666666666666676E-2</v>
      </c>
      <c r="S42" s="14">
        <f>Q42+((C42*G42/100)*((2.64-1.57)/12))</f>
        <v>4.6666666666666676E-2</v>
      </c>
    </row>
    <row r="43" spans="2:34" ht="15.75">
      <c r="B43" s="13" t="s">
        <v>63</v>
      </c>
      <c r="C43" s="14">
        <v>0.48</v>
      </c>
      <c r="D43" s="15">
        <v>0</v>
      </c>
      <c r="E43" s="15">
        <v>0</v>
      </c>
      <c r="F43" s="15">
        <v>80</v>
      </c>
      <c r="G43" s="15">
        <v>20</v>
      </c>
      <c r="H43" s="13">
        <v>0.38</v>
      </c>
      <c r="I43" s="13">
        <v>0.95</v>
      </c>
      <c r="J43" s="13">
        <v>1.71</v>
      </c>
      <c r="K43" s="13">
        <v>3.14</v>
      </c>
      <c r="L43" s="14">
        <f>((C43*D43*H43)+(C43*E43*I43)+(C43*F43*J43)+(C43*G43*K43))/100</f>
        <v>0.95807999999999993</v>
      </c>
      <c r="M43" s="13">
        <v>0.13</v>
      </c>
      <c r="N43" s="13">
        <v>0.28000000000000003</v>
      </c>
      <c r="O43" s="13">
        <v>0.52</v>
      </c>
      <c r="P43" s="13">
        <v>1.34</v>
      </c>
      <c r="Q43" s="14">
        <f>((C43*D43*M43)+(C43*E43*N43)+(C43*F43*O43)+(C43*G43*P43))/1200</f>
        <v>2.7359999999999999E-2</v>
      </c>
      <c r="R43" s="14">
        <f t="shared" si="6"/>
        <v>2.9440000000000001E-2</v>
      </c>
      <c r="S43" s="14">
        <f>Q43+((C43*G43/100)*((2.64-1.57)/12))</f>
        <v>3.5920000000000001E-2</v>
      </c>
    </row>
    <row r="44" spans="2:34" ht="15.75">
      <c r="B44" s="3" t="s">
        <v>64</v>
      </c>
      <c r="C44" s="4">
        <v>1.65</v>
      </c>
      <c r="D44" s="64">
        <v>0</v>
      </c>
      <c r="E44" s="64">
        <v>0</v>
      </c>
      <c r="F44" s="64">
        <v>30</v>
      </c>
      <c r="G44" s="64">
        <v>70</v>
      </c>
      <c r="H44" s="13">
        <v>0.38</v>
      </c>
      <c r="I44" s="13">
        <v>0.95</v>
      </c>
      <c r="J44" s="13">
        <v>1.71</v>
      </c>
      <c r="K44" s="13">
        <v>3.14</v>
      </c>
      <c r="L44" s="14">
        <f>((C44*D44*H44)+(C44*E44*I44)+(C44*F44*J44)+(C44*G44*K44))/100</f>
        <v>4.4731500000000004</v>
      </c>
      <c r="M44" s="13">
        <v>0.13</v>
      </c>
      <c r="N44" s="13">
        <v>0.28000000000000003</v>
      </c>
      <c r="O44" s="13">
        <v>0.52</v>
      </c>
      <c r="P44" s="13">
        <v>1.34</v>
      </c>
      <c r="Q44" s="14">
        <f>((C44*D44*M44)+(C44*E44*N44)+(C44*F44*O44)+(C44*G44*P44))/1200</f>
        <v>0.150425</v>
      </c>
      <c r="R44" s="14">
        <f t="shared" si="6"/>
        <v>0.17544999999999999</v>
      </c>
      <c r="S44" s="14">
        <f>Q44+((C44*G44/100)*((2.64-1.57)/12))</f>
        <v>0.25341250000000004</v>
      </c>
      <c r="AA44" s="17">
        <f>SUM(L32,L33,L39,L40)-19.5</f>
        <v>10.361899999999999</v>
      </c>
      <c r="AB44" s="17">
        <f>SUM(R30,R32,R33,R40)</f>
        <v>0.77319666666666675</v>
      </c>
      <c r="AH44" s="17"/>
    </row>
    <row r="46" spans="2:34">
      <c r="AA46" s="17">
        <f>AA21-AA44</f>
        <v>4.708510000000004</v>
      </c>
      <c r="AB46" s="17">
        <f>AB21-AB44</f>
        <v>3.8699999999999957E-2</v>
      </c>
    </row>
    <row r="47" spans="2:34">
      <c r="B47" s="63" t="s">
        <v>71</v>
      </c>
      <c r="E47" s="2">
        <v>0.66</v>
      </c>
      <c r="F47" s="2" t="s">
        <v>72</v>
      </c>
    </row>
    <row r="48" spans="2:34">
      <c r="E48" s="1">
        <v>0.5</v>
      </c>
      <c r="F48" s="2" t="s">
        <v>73</v>
      </c>
    </row>
    <row r="49" spans="2:19">
      <c r="E49" s="1">
        <v>1.32</v>
      </c>
      <c r="F49" s="2" t="s">
        <v>74</v>
      </c>
    </row>
    <row r="52" spans="2:19" ht="31.5">
      <c r="B52" s="67" t="s">
        <v>75</v>
      </c>
      <c r="C52" s="14">
        <v>0.13</v>
      </c>
      <c r="D52" s="15">
        <v>0</v>
      </c>
      <c r="E52" s="15">
        <v>0</v>
      </c>
      <c r="F52" s="15">
        <v>0</v>
      </c>
      <c r="G52" s="15">
        <v>100</v>
      </c>
      <c r="H52" s="13">
        <v>1.56</v>
      </c>
      <c r="I52" s="13">
        <v>2.2799999999999998</v>
      </c>
      <c r="J52" s="13">
        <v>3.14</v>
      </c>
      <c r="K52" s="13">
        <v>4.7</v>
      </c>
      <c r="L52" s="23">
        <f>((C52*D52*H52)+(C52*E52*I52)+(C52*F52*J52)+(C52*G52*K52))/100</f>
        <v>0.61099999999999999</v>
      </c>
      <c r="M52" s="13">
        <v>0.53</v>
      </c>
      <c r="N52" s="13">
        <v>0.78</v>
      </c>
      <c r="O52" s="13">
        <v>1.1299999999999999</v>
      </c>
      <c r="P52" s="13">
        <v>2.12</v>
      </c>
      <c r="Q52" s="14">
        <f>((C52*D52*M52)+(C52*E52*N52)+(C52*F52*O52)+(C52*G52*P52))/1200</f>
        <v>2.296666666666667E-2</v>
      </c>
      <c r="R52" s="14">
        <f>Q52+((C52*G52/100)*((2.75-2.35)/12))</f>
        <v>2.7300000000000001E-2</v>
      </c>
      <c r="S52" s="68"/>
    </row>
    <row r="53" spans="2:19" ht="31.5">
      <c r="B53" s="67" t="s">
        <v>76</v>
      </c>
      <c r="C53" s="14">
        <v>0.6</v>
      </c>
      <c r="D53" s="15">
        <v>0</v>
      </c>
      <c r="E53" s="15">
        <v>0</v>
      </c>
      <c r="F53" s="15">
        <v>0</v>
      </c>
      <c r="G53" s="15">
        <v>100</v>
      </c>
      <c r="H53" s="13">
        <v>1.56</v>
      </c>
      <c r="I53" s="13">
        <v>2.2799999999999998</v>
      </c>
      <c r="J53" s="13">
        <v>3.14</v>
      </c>
      <c r="K53" s="13">
        <v>4.7</v>
      </c>
      <c r="L53" s="23">
        <f>((C53*D53*H53)+(C53*E53*I53)+(C53*F53*J53)+(C53*G53*K53))/100</f>
        <v>2.82</v>
      </c>
      <c r="M53" s="13">
        <v>0.53</v>
      </c>
      <c r="N53" s="13">
        <v>0.78</v>
      </c>
      <c r="O53" s="13">
        <v>1.1299999999999999</v>
      </c>
      <c r="P53" s="13">
        <v>2.12</v>
      </c>
      <c r="Q53" s="14">
        <f>((C53*D53*M53)+(C53*E53*N53)+(C53*F53*O53)+(C53*G53*P53))/1200</f>
        <v>0.106</v>
      </c>
      <c r="R53" s="14">
        <f>Q53+((C53*G53/100)*((2.75-2.35)/12))</f>
        <v>0.126</v>
      </c>
      <c r="S53" s="68"/>
    </row>
  </sheetData>
  <mergeCells count="26">
    <mergeCell ref="S26:S27"/>
    <mergeCell ref="D16:K16"/>
    <mergeCell ref="M16:P16"/>
    <mergeCell ref="D39:K39"/>
    <mergeCell ref="M39:P39"/>
    <mergeCell ref="B26:B27"/>
    <mergeCell ref="Q26:Q27"/>
    <mergeCell ref="B25:R25"/>
    <mergeCell ref="C26:C27"/>
    <mergeCell ref="D26:G26"/>
    <mergeCell ref="H26:K26"/>
    <mergeCell ref="L26:L27"/>
    <mergeCell ref="M26:P26"/>
    <mergeCell ref="R26:R27"/>
    <mergeCell ref="A3:A4"/>
    <mergeCell ref="B3:B4"/>
    <mergeCell ref="C3:C4"/>
    <mergeCell ref="D3:G3"/>
    <mergeCell ref="L3:L4"/>
    <mergeCell ref="S3:S4"/>
    <mergeCell ref="T3:W3"/>
    <mergeCell ref="H3:K3"/>
    <mergeCell ref="M3:P3"/>
    <mergeCell ref="B2:R2"/>
    <mergeCell ref="Q3:Q4"/>
    <mergeCell ref="R3:R4"/>
  </mergeCells>
  <printOptions horizontalCentered="1"/>
  <pageMargins left="0.7" right="0.7" top="0.75" bottom="0.75" header="0.3" footer="0.3"/>
  <pageSetup paperSize="3" scale="91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6:AL48"/>
  <sheetViews>
    <sheetView zoomScale="70" zoomScaleNormal="70" workbookViewId="0">
      <selection activeCell="B7" sqref="B7"/>
    </sheetView>
  </sheetViews>
  <sheetFormatPr defaultColWidth="11.140625" defaultRowHeight="20.100000000000001" customHeight="1"/>
  <cols>
    <col min="1" max="1" width="11.140625" style="87"/>
    <col min="2" max="2" width="14.42578125" style="201" customWidth="1"/>
    <col min="3" max="3" width="19.85546875" style="201" customWidth="1"/>
    <col min="4" max="4" width="15.42578125" style="201" customWidth="1"/>
    <col min="5" max="5" width="12" style="201" customWidth="1"/>
    <col min="6" max="6" width="13.5703125" style="202" customWidth="1"/>
    <col min="7" max="7" width="12.85546875" style="202" customWidth="1"/>
    <col min="8" max="8" width="12.140625" style="202" customWidth="1"/>
    <col min="9" max="9" width="10" style="87" customWidth="1"/>
    <col min="10" max="10" width="13.140625" style="87" customWidth="1"/>
    <col min="11" max="11" width="10.7109375" style="87" customWidth="1"/>
    <col min="12" max="12" width="10.28515625" style="87" customWidth="1"/>
    <col min="13" max="13" width="11.140625" style="87"/>
    <col min="14" max="15" width="12.5703125" style="87" customWidth="1"/>
    <col min="16" max="16" width="14.42578125" style="87" customWidth="1"/>
    <col min="17" max="17" width="11.140625" style="87"/>
    <col min="18" max="18" width="11.85546875" style="202" customWidth="1"/>
    <col min="19" max="19" width="27.85546875" style="201" customWidth="1"/>
    <col min="20" max="20" width="16.140625" style="201" customWidth="1"/>
    <col min="21" max="21" width="11.28515625" style="202" customWidth="1"/>
    <col min="22" max="22" width="9.28515625" style="203" customWidth="1"/>
    <col min="23" max="23" width="12.42578125" style="203" hidden="1" customWidth="1"/>
    <col min="24" max="24" width="15.5703125" style="203" customWidth="1"/>
    <col min="25" max="26" width="15.85546875" style="203" customWidth="1"/>
    <col min="27" max="27" width="43.28515625" style="203" customWidth="1"/>
    <col min="28" max="28" width="15.85546875" style="203" customWidth="1"/>
    <col min="29" max="30" width="11.140625" style="87"/>
    <col min="31" max="31" width="13.140625" style="87" bestFit="1" customWidth="1"/>
    <col min="32" max="16384" width="11.140625" style="87"/>
  </cols>
  <sheetData>
    <row r="6" spans="2:33" ht="12.75">
      <c r="B6" s="230" t="s">
        <v>207</v>
      </c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189"/>
      <c r="AA6" s="189"/>
      <c r="AB6" s="189"/>
    </row>
    <row r="7" spans="2:33" ht="13.5" thickBot="1"/>
    <row r="8" spans="2:33" ht="36.75" customHeight="1">
      <c r="B8" s="239" t="s">
        <v>77</v>
      </c>
      <c r="C8" s="235"/>
      <c r="D8" s="235" t="s">
        <v>78</v>
      </c>
      <c r="E8" s="235" t="s">
        <v>79</v>
      </c>
      <c r="F8" s="233" t="s">
        <v>80</v>
      </c>
      <c r="G8" s="233" t="s">
        <v>81</v>
      </c>
      <c r="H8" s="231" t="s">
        <v>82</v>
      </c>
      <c r="I8" s="231" t="s">
        <v>145</v>
      </c>
      <c r="J8" s="231" t="s">
        <v>83</v>
      </c>
      <c r="K8" s="231" t="s">
        <v>84</v>
      </c>
      <c r="L8" s="237" t="s">
        <v>85</v>
      </c>
      <c r="M8" s="235" t="s">
        <v>86</v>
      </c>
      <c r="N8" s="231" t="s">
        <v>87</v>
      </c>
      <c r="O8" s="231" t="s">
        <v>88</v>
      </c>
      <c r="P8" s="231" t="s">
        <v>146</v>
      </c>
      <c r="Q8" s="231" t="s">
        <v>89</v>
      </c>
      <c r="R8" s="233" t="s">
        <v>90</v>
      </c>
      <c r="S8" s="235" t="s">
        <v>91</v>
      </c>
      <c r="T8" s="235" t="s">
        <v>92</v>
      </c>
      <c r="U8" s="233" t="s">
        <v>93</v>
      </c>
      <c r="V8" s="233" t="s">
        <v>94</v>
      </c>
      <c r="W8" s="231" t="s">
        <v>87</v>
      </c>
      <c r="X8" s="231" t="s">
        <v>95</v>
      </c>
      <c r="Y8" s="240" t="s">
        <v>96</v>
      </c>
      <c r="Z8" s="96"/>
      <c r="AA8" s="96"/>
      <c r="AB8" s="96"/>
    </row>
    <row r="9" spans="2:33" ht="53.25" customHeight="1">
      <c r="B9" s="97" t="s">
        <v>97</v>
      </c>
      <c r="C9" s="188" t="s">
        <v>98</v>
      </c>
      <c r="D9" s="236"/>
      <c r="E9" s="236"/>
      <c r="F9" s="234"/>
      <c r="G9" s="234"/>
      <c r="H9" s="232"/>
      <c r="I9" s="232"/>
      <c r="J9" s="232"/>
      <c r="K9" s="232"/>
      <c r="L9" s="238"/>
      <c r="M9" s="236"/>
      <c r="N9" s="232"/>
      <c r="O9" s="232"/>
      <c r="P9" s="232"/>
      <c r="Q9" s="232"/>
      <c r="R9" s="234"/>
      <c r="S9" s="236"/>
      <c r="T9" s="236"/>
      <c r="U9" s="234"/>
      <c r="V9" s="234"/>
      <c r="W9" s="232"/>
      <c r="X9" s="232"/>
      <c r="Y9" s="241"/>
      <c r="Z9" s="96"/>
      <c r="AA9" s="96"/>
      <c r="AB9" s="96"/>
    </row>
    <row r="10" spans="2:33" ht="30" customHeight="1" thickBot="1">
      <c r="B10" s="242" t="s">
        <v>130</v>
      </c>
      <c r="C10" s="243"/>
      <c r="D10" s="243"/>
      <c r="E10" s="243"/>
      <c r="F10" s="243"/>
      <c r="G10" s="243"/>
      <c r="H10" s="243"/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  <c r="W10" s="243"/>
      <c r="X10" s="243"/>
      <c r="Y10" s="244"/>
      <c r="Z10" s="204"/>
      <c r="AA10" s="204"/>
      <c r="AB10" s="204"/>
      <c r="AE10" s="87" t="s">
        <v>148</v>
      </c>
    </row>
    <row r="11" spans="2:33" ht="30" customHeight="1">
      <c r="B11" s="121">
        <f>VLOOKUP(D11,'100-year Street Criteria'!A$7:AB$32,2,FALSE)</f>
        <v>10450</v>
      </c>
      <c r="C11" s="122" t="s">
        <v>100</v>
      </c>
      <c r="D11" s="122" t="s">
        <v>21</v>
      </c>
      <c r="E11" s="123">
        <f>VLOOKUP(D11,'10-Yr Runoff'!B$6:L$35,11,FALSE)</f>
        <v>2.0377118800000003</v>
      </c>
      <c r="F11" s="148"/>
      <c r="G11" s="123">
        <f t="shared" ref="G11:G21" si="0">E11+F11</f>
        <v>2.0377118800000003</v>
      </c>
      <c r="H11" s="124">
        <v>2.85</v>
      </c>
      <c r="I11" s="125">
        <v>2</v>
      </c>
      <c r="J11" s="126">
        <v>1.7000000000000001E-2</v>
      </c>
      <c r="K11" s="126">
        <v>7.9</v>
      </c>
      <c r="L11" s="183">
        <f>19</f>
        <v>19</v>
      </c>
      <c r="M11" s="127" t="str">
        <f t="shared" ref="M11:M21" si="1">IF(L11&gt;=K11,"Yes","No")</f>
        <v>Yes</v>
      </c>
      <c r="N11" s="129">
        <f>W11</f>
        <v>0.16666666666666666</v>
      </c>
      <c r="O11" s="126">
        <v>3.26</v>
      </c>
      <c r="P11" s="129">
        <f t="shared" ref="P11:P21" si="2">N11*O11</f>
        <v>0.54333333333333322</v>
      </c>
      <c r="Q11" s="127" t="str">
        <f t="shared" ref="Q11:Q21" si="3">IF(P11&lt;=6.5,"Yes","No")</f>
        <v>Yes</v>
      </c>
      <c r="R11" s="122">
        <f>B11</f>
        <v>10450</v>
      </c>
      <c r="S11" s="137" t="s">
        <v>137</v>
      </c>
      <c r="T11" s="123">
        <f t="shared" ref="T11:U15" si="4">E11</f>
        <v>2.0377118800000003</v>
      </c>
      <c r="U11" s="123">
        <f t="shared" si="4"/>
        <v>0</v>
      </c>
      <c r="V11" s="123">
        <f t="shared" ref="V11:V21" si="5">T11+U11</f>
        <v>2.0377118800000003</v>
      </c>
      <c r="W11" s="138">
        <f>2/12</f>
        <v>0.16666666666666666</v>
      </c>
      <c r="X11" s="138">
        <v>1.66</v>
      </c>
      <c r="Y11" s="139">
        <f t="shared" ref="Y11:Y21" si="6">V11-X11</f>
        <v>0.37771188000000033</v>
      </c>
      <c r="Z11" s="205"/>
      <c r="AA11" s="205"/>
      <c r="AB11" s="205"/>
      <c r="AC11" s="90"/>
      <c r="AE11" s="90">
        <f>X11</f>
        <v>1.66</v>
      </c>
      <c r="AG11" s="187" t="s">
        <v>151</v>
      </c>
    </row>
    <row r="12" spans="2:33" ht="30" customHeight="1">
      <c r="B12" s="98">
        <f>VLOOKUP(D12,'100-year Street Criteria'!A$7:AB$32,2,FALSE)</f>
        <v>10450</v>
      </c>
      <c r="C12" s="99" t="s">
        <v>100</v>
      </c>
      <c r="D12" s="99" t="s">
        <v>21</v>
      </c>
      <c r="E12" s="100"/>
      <c r="F12" s="101">
        <f>Y11</f>
        <v>0.37771188000000033</v>
      </c>
      <c r="G12" s="100">
        <f t="shared" ref="G12" si="7">E12+F12</f>
        <v>0.37771188000000033</v>
      </c>
      <c r="H12" s="102">
        <v>2.85</v>
      </c>
      <c r="I12" s="103">
        <v>2</v>
      </c>
      <c r="J12" s="104">
        <v>1.7000000000000001E-2</v>
      </c>
      <c r="K12" s="104">
        <v>4.2</v>
      </c>
      <c r="L12" s="105">
        <f>19</f>
        <v>19</v>
      </c>
      <c r="M12" s="106" t="str">
        <f t="shared" ref="M12" si="8">IF(L12&gt;=K12,"Yes","No")</f>
        <v>Yes</v>
      </c>
      <c r="N12" s="107">
        <f>W12</f>
        <v>9.1666666666666674E-2</v>
      </c>
      <c r="O12" s="104">
        <v>2.14</v>
      </c>
      <c r="P12" s="107">
        <f t="shared" ref="P12" si="9">N12*O12</f>
        <v>0.19616666666666668</v>
      </c>
      <c r="Q12" s="106" t="str">
        <f t="shared" ref="Q12" si="10">IF(P12&lt;=6.5,"Yes","No")</f>
        <v>Yes</v>
      </c>
      <c r="R12" s="99">
        <f>B12</f>
        <v>10450</v>
      </c>
      <c r="S12" s="140" t="s">
        <v>137</v>
      </c>
      <c r="T12" s="100">
        <f t="shared" ref="T12" si="11">E12</f>
        <v>0</v>
      </c>
      <c r="U12" s="100">
        <f t="shared" ref="U12" si="12">F12</f>
        <v>0.37771188000000033</v>
      </c>
      <c r="V12" s="100">
        <f t="shared" ref="V12" si="13">T12+U12</f>
        <v>0.37771188000000033</v>
      </c>
      <c r="W12" s="141">
        <f>1.1/12</f>
        <v>9.1666666666666674E-2</v>
      </c>
      <c r="X12" s="141">
        <v>0.38</v>
      </c>
      <c r="Y12" s="142">
        <f t="shared" ref="Y12" si="14">V12-X12</f>
        <v>-2.2881199999996715E-3</v>
      </c>
      <c r="Z12" s="87"/>
      <c r="AA12" s="187" t="s">
        <v>142</v>
      </c>
      <c r="AB12" s="205"/>
      <c r="AC12" s="90"/>
      <c r="AE12" s="90">
        <f>AE11+X12</f>
        <v>2.04</v>
      </c>
    </row>
    <row r="13" spans="2:33" ht="30" customHeight="1">
      <c r="B13" s="98">
        <f>VLOOKUP(D13,'100-year Street Criteria'!A$7:AB$32,2,FALSE)</f>
        <v>11200</v>
      </c>
      <c r="C13" s="99" t="s">
        <v>100</v>
      </c>
      <c r="D13" s="99" t="s">
        <v>22</v>
      </c>
      <c r="E13" s="100">
        <f>VLOOKUP(D13,'10-Yr Runoff'!B$6:L$35,11,FALSE)</f>
        <v>1.9007874199999997</v>
      </c>
      <c r="F13" s="101"/>
      <c r="G13" s="100">
        <f t="shared" si="0"/>
        <v>1.9007874199999997</v>
      </c>
      <c r="H13" s="102">
        <v>2.4</v>
      </c>
      <c r="I13" s="103">
        <v>2</v>
      </c>
      <c r="J13" s="104">
        <v>1.7000000000000001E-2</v>
      </c>
      <c r="K13" s="104">
        <v>8</v>
      </c>
      <c r="L13" s="105">
        <f>19</f>
        <v>19</v>
      </c>
      <c r="M13" s="106" t="str">
        <f t="shared" si="1"/>
        <v>Yes</v>
      </c>
      <c r="N13" s="107">
        <f t="shared" ref="N13:N15" si="15">W13</f>
        <v>8.3333333333333329E-2</v>
      </c>
      <c r="O13" s="104">
        <v>3</v>
      </c>
      <c r="P13" s="107">
        <f t="shared" si="2"/>
        <v>0.25</v>
      </c>
      <c r="Q13" s="106" t="str">
        <f t="shared" si="3"/>
        <v>Yes</v>
      </c>
      <c r="R13" s="99">
        <f t="shared" ref="R13:R21" si="16">B13</f>
        <v>11200</v>
      </c>
      <c r="S13" s="140" t="s">
        <v>137</v>
      </c>
      <c r="T13" s="100">
        <f t="shared" si="4"/>
        <v>1.9007874199999997</v>
      </c>
      <c r="U13" s="100">
        <f t="shared" si="4"/>
        <v>0</v>
      </c>
      <c r="V13" s="100">
        <f t="shared" si="5"/>
        <v>1.9007874199999997</v>
      </c>
      <c r="W13" s="141">
        <f>1/12</f>
        <v>8.3333333333333329E-2</v>
      </c>
      <c r="X13" s="141">
        <v>1.58</v>
      </c>
      <c r="Y13" s="142">
        <f t="shared" si="6"/>
        <v>0.3207874199999996</v>
      </c>
      <c r="AB13" s="205"/>
      <c r="AC13" s="90"/>
      <c r="AE13" s="90">
        <f t="shared" ref="AE13:AE24" si="17">AE12+X13</f>
        <v>3.62</v>
      </c>
    </row>
    <row r="14" spans="2:33" ht="30" customHeight="1">
      <c r="B14" s="98">
        <f>VLOOKUP(D14,'100-year Street Criteria'!A$7:AB$32,2,FALSE)</f>
        <v>11200</v>
      </c>
      <c r="C14" s="99" t="s">
        <v>100</v>
      </c>
      <c r="D14" s="99" t="s">
        <v>22</v>
      </c>
      <c r="E14" s="100"/>
      <c r="F14" s="101">
        <f>Y13</f>
        <v>0.3207874199999996</v>
      </c>
      <c r="G14" s="100">
        <f t="shared" ref="G14" si="18">E14+F14</f>
        <v>0.3207874199999996</v>
      </c>
      <c r="H14" s="102">
        <v>2.4</v>
      </c>
      <c r="I14" s="103">
        <v>2</v>
      </c>
      <c r="J14" s="104">
        <v>1.7000000000000001E-2</v>
      </c>
      <c r="K14" s="104">
        <v>4.0999999999999996</v>
      </c>
      <c r="L14" s="105">
        <f>19</f>
        <v>19</v>
      </c>
      <c r="M14" s="106" t="str">
        <f t="shared" ref="M14" si="19">IF(L14&gt;=K14,"Yes","No")</f>
        <v>Yes</v>
      </c>
      <c r="N14" s="107">
        <f t="shared" ref="N14" si="20">W14</f>
        <v>0.11666666666666665</v>
      </c>
      <c r="O14" s="104">
        <v>1.92</v>
      </c>
      <c r="P14" s="107">
        <f t="shared" ref="P14" si="21">N14*O14</f>
        <v>0.22399999999999998</v>
      </c>
      <c r="Q14" s="106" t="str">
        <f t="shared" ref="Q14" si="22">IF(P14&lt;=6.5,"Yes","No")</f>
        <v>Yes</v>
      </c>
      <c r="R14" s="99">
        <f t="shared" ref="R14" si="23">B14</f>
        <v>11200</v>
      </c>
      <c r="S14" s="140" t="s">
        <v>138</v>
      </c>
      <c r="T14" s="100">
        <f t="shared" ref="T14" si="24">E14</f>
        <v>0</v>
      </c>
      <c r="U14" s="100">
        <f t="shared" ref="U14" si="25">F14</f>
        <v>0.3207874199999996</v>
      </c>
      <c r="V14" s="100">
        <f t="shared" ref="V14" si="26">T14+U14</f>
        <v>0.3207874199999996</v>
      </c>
      <c r="W14" s="141">
        <f>1.4/12</f>
        <v>0.11666666666666665</v>
      </c>
      <c r="X14" s="141">
        <v>0.31</v>
      </c>
      <c r="Y14" s="142">
        <f t="shared" ref="Y14" si="27">V14-X14</f>
        <v>1.0787419999999603E-2</v>
      </c>
      <c r="Z14" s="87"/>
      <c r="AA14" s="187" t="s">
        <v>143</v>
      </c>
      <c r="AB14" s="205"/>
      <c r="AC14" s="90"/>
      <c r="AE14" s="90">
        <f t="shared" si="17"/>
        <v>3.93</v>
      </c>
    </row>
    <row r="15" spans="2:33" ht="30" customHeight="1">
      <c r="B15" s="98">
        <f>VLOOKUP(D15,'100-year Street Criteria'!A$7:AB$32,2,FALSE)</f>
        <v>11600</v>
      </c>
      <c r="C15" s="99" t="s">
        <v>100</v>
      </c>
      <c r="D15" s="99" t="s">
        <v>23</v>
      </c>
      <c r="E15" s="100">
        <f>VLOOKUP(D15,'10-Yr Runoff'!B$6:L$35,11,FALSE)</f>
        <v>0.80693630999999999</v>
      </c>
      <c r="F15" s="101"/>
      <c r="G15" s="100">
        <f t="shared" si="0"/>
        <v>0.80693630999999999</v>
      </c>
      <c r="H15" s="102">
        <v>2.4</v>
      </c>
      <c r="I15" s="103">
        <v>2</v>
      </c>
      <c r="J15" s="104">
        <v>1.7000000000000001E-2</v>
      </c>
      <c r="K15" s="104">
        <v>5.8</v>
      </c>
      <c r="L15" s="105">
        <f>19</f>
        <v>19</v>
      </c>
      <c r="M15" s="106" t="str">
        <f t="shared" si="1"/>
        <v>Yes</v>
      </c>
      <c r="N15" s="107">
        <f t="shared" si="15"/>
        <v>0.1</v>
      </c>
      <c r="O15" s="104">
        <v>2.42</v>
      </c>
      <c r="P15" s="107">
        <f t="shared" si="2"/>
        <v>0.24199999999999999</v>
      </c>
      <c r="Q15" s="106" t="str">
        <f t="shared" si="3"/>
        <v>Yes</v>
      </c>
      <c r="R15" s="99">
        <f t="shared" si="16"/>
        <v>11600</v>
      </c>
      <c r="S15" s="140" t="s">
        <v>139</v>
      </c>
      <c r="T15" s="100">
        <f t="shared" si="4"/>
        <v>0.80693630999999999</v>
      </c>
      <c r="U15" s="100">
        <f t="shared" si="4"/>
        <v>0</v>
      </c>
      <c r="V15" s="100">
        <f t="shared" si="5"/>
        <v>0.80693630999999999</v>
      </c>
      <c r="W15" s="141">
        <v>0.1</v>
      </c>
      <c r="X15" s="141">
        <v>0.73</v>
      </c>
      <c r="Y15" s="142">
        <f t="shared" si="6"/>
        <v>7.6936310000000008E-2</v>
      </c>
      <c r="Z15" s="87"/>
      <c r="AA15" s="187" t="s">
        <v>143</v>
      </c>
      <c r="AB15" s="205"/>
      <c r="AC15" s="90"/>
      <c r="AE15" s="90">
        <f t="shared" si="17"/>
        <v>4.66</v>
      </c>
    </row>
    <row r="16" spans="2:33" ht="30" customHeight="1">
      <c r="B16" s="98">
        <f>VLOOKUP(D16,'100-year Street Criteria'!A$7:AB$32,2,FALSE)</f>
        <v>12350</v>
      </c>
      <c r="C16" s="99" t="s">
        <v>100</v>
      </c>
      <c r="D16" s="99" t="s">
        <v>24</v>
      </c>
      <c r="E16" s="100">
        <f>VLOOKUP(D16,'10-Yr Runoff'!B$6:L$35,11,FALSE)</f>
        <v>1.8540648199999998</v>
      </c>
      <c r="F16" s="101"/>
      <c r="G16" s="100">
        <f t="shared" si="0"/>
        <v>1.8540648199999998</v>
      </c>
      <c r="H16" s="102">
        <v>1.7</v>
      </c>
      <c r="I16" s="103">
        <v>2</v>
      </c>
      <c r="J16" s="104">
        <v>1.7000000000000001E-2</v>
      </c>
      <c r="K16" s="104">
        <v>8.4</v>
      </c>
      <c r="L16" s="105">
        <f>19</f>
        <v>19</v>
      </c>
      <c r="M16" s="106" t="str">
        <f t="shared" si="1"/>
        <v>Yes</v>
      </c>
      <c r="N16" s="107">
        <f t="shared" ref="N16" si="28">W16</f>
        <v>0.16666666666666666</v>
      </c>
      <c r="O16" s="104">
        <v>2.62</v>
      </c>
      <c r="P16" s="107">
        <f t="shared" si="2"/>
        <v>0.43666666666666665</v>
      </c>
      <c r="Q16" s="106" t="str">
        <f t="shared" si="3"/>
        <v>Yes</v>
      </c>
      <c r="R16" s="99">
        <f t="shared" si="16"/>
        <v>12350</v>
      </c>
      <c r="S16" s="140" t="s">
        <v>137</v>
      </c>
      <c r="T16" s="100">
        <f t="shared" ref="T16" si="29">E16</f>
        <v>1.8540648199999998</v>
      </c>
      <c r="U16" s="100">
        <f t="shared" ref="U16" si="30">F16</f>
        <v>0</v>
      </c>
      <c r="V16" s="100">
        <f t="shared" si="5"/>
        <v>1.8540648199999998</v>
      </c>
      <c r="W16" s="141">
        <f>2/12</f>
        <v>0.16666666666666666</v>
      </c>
      <c r="X16" s="141">
        <v>1.57</v>
      </c>
      <c r="Y16" s="142">
        <f t="shared" si="6"/>
        <v>0.28406481999999977</v>
      </c>
      <c r="Z16" s="205"/>
      <c r="AA16" s="205"/>
      <c r="AB16" s="205"/>
      <c r="AC16" s="90"/>
      <c r="AE16" s="90">
        <f t="shared" si="17"/>
        <v>6.23</v>
      </c>
    </row>
    <row r="17" spans="2:38" ht="30" customHeight="1">
      <c r="B17" s="98">
        <f>VLOOKUP(D17,'100-year Street Criteria'!A$7:AB$32,2,FALSE)</f>
        <v>12350</v>
      </c>
      <c r="C17" s="99" t="s">
        <v>100</v>
      </c>
      <c r="D17" s="99" t="s">
        <v>24</v>
      </c>
      <c r="E17" s="100">
        <v>0</v>
      </c>
      <c r="F17" s="101">
        <f>Y16</f>
        <v>0.28406481999999977</v>
      </c>
      <c r="G17" s="100">
        <f t="shared" si="0"/>
        <v>0.28406481999999977</v>
      </c>
      <c r="H17" s="102">
        <v>1.7</v>
      </c>
      <c r="I17" s="103">
        <v>2</v>
      </c>
      <c r="J17" s="104">
        <v>1.7000000000000001E-2</v>
      </c>
      <c r="K17" s="104">
        <v>4.0999999999999996</v>
      </c>
      <c r="L17" s="105">
        <f>19</f>
        <v>19</v>
      </c>
      <c r="M17" s="106" t="str">
        <f t="shared" si="1"/>
        <v>Yes</v>
      </c>
      <c r="N17" s="107">
        <f t="shared" ref="N17" si="31">W17</f>
        <v>8.3333333333333329E-2</v>
      </c>
      <c r="O17" s="104">
        <v>1.63</v>
      </c>
      <c r="P17" s="107">
        <f t="shared" si="2"/>
        <v>0.13583333333333331</v>
      </c>
      <c r="Q17" s="106" t="str">
        <f t="shared" si="3"/>
        <v>Yes</v>
      </c>
      <c r="R17" s="99">
        <f t="shared" si="16"/>
        <v>12350</v>
      </c>
      <c r="S17" s="140" t="s">
        <v>139</v>
      </c>
      <c r="T17" s="100">
        <f t="shared" ref="T17" si="32">E17</f>
        <v>0</v>
      </c>
      <c r="U17" s="100">
        <f t="shared" ref="U17" si="33">F17</f>
        <v>0.28406481999999977</v>
      </c>
      <c r="V17" s="100">
        <f t="shared" si="5"/>
        <v>0.28406481999999977</v>
      </c>
      <c r="W17" s="141">
        <f>1/12</f>
        <v>8.3333333333333329E-2</v>
      </c>
      <c r="X17" s="141">
        <v>0.27</v>
      </c>
      <c r="Y17" s="142">
        <f t="shared" si="6"/>
        <v>1.4064819999999756E-2</v>
      </c>
      <c r="Z17" s="87"/>
      <c r="AA17" s="187" t="s">
        <v>143</v>
      </c>
      <c r="AB17" s="205"/>
      <c r="AC17" s="90"/>
      <c r="AE17" s="90">
        <f t="shared" si="17"/>
        <v>6.5</v>
      </c>
      <c r="AG17" s="187" t="s">
        <v>149</v>
      </c>
    </row>
    <row r="18" spans="2:38" ht="30" customHeight="1">
      <c r="B18" s="98">
        <f>VLOOKUP(D18,'100-year Street Criteria'!A$7:AB$32,2,FALSE)</f>
        <v>12885</v>
      </c>
      <c r="C18" s="99" t="s">
        <v>100</v>
      </c>
      <c r="D18" s="99" t="s">
        <v>25</v>
      </c>
      <c r="E18" s="100">
        <f>VLOOKUP(D18,'10-Yr Runoff'!B$6:L$35,11,FALSE)</f>
        <v>1.3034166199999999</v>
      </c>
      <c r="F18" s="101"/>
      <c r="G18" s="100">
        <f t="shared" si="0"/>
        <v>1.3034166199999999</v>
      </c>
      <c r="H18" s="102">
        <v>1.1000000000000001</v>
      </c>
      <c r="I18" s="103">
        <v>2</v>
      </c>
      <c r="J18" s="104">
        <v>1.7000000000000001E-2</v>
      </c>
      <c r="K18" s="104">
        <v>9.6999999999999993</v>
      </c>
      <c r="L18" s="105">
        <f>19</f>
        <v>19</v>
      </c>
      <c r="M18" s="106" t="str">
        <f t="shared" si="1"/>
        <v>Yes</v>
      </c>
      <c r="N18" s="107">
        <f t="shared" ref="N18" si="34">W18</f>
        <v>0.15833333333333333</v>
      </c>
      <c r="O18" s="104">
        <v>3.05</v>
      </c>
      <c r="P18" s="107">
        <f t="shared" si="2"/>
        <v>0.48291666666666661</v>
      </c>
      <c r="Q18" s="106" t="str">
        <f t="shared" si="3"/>
        <v>Yes</v>
      </c>
      <c r="R18" s="99">
        <f t="shared" si="16"/>
        <v>12885</v>
      </c>
      <c r="S18" s="140" t="s">
        <v>137</v>
      </c>
      <c r="T18" s="100">
        <f t="shared" ref="T18" si="35">E18</f>
        <v>1.3034166199999999</v>
      </c>
      <c r="U18" s="100">
        <f t="shared" ref="U18" si="36">F18</f>
        <v>0</v>
      </c>
      <c r="V18" s="100">
        <f t="shared" si="5"/>
        <v>1.3034166199999999</v>
      </c>
      <c r="W18" s="141">
        <f>1.9/12</f>
        <v>0.15833333333333333</v>
      </c>
      <c r="X18" s="141">
        <v>1.2</v>
      </c>
      <c r="Y18" s="142">
        <f t="shared" si="6"/>
        <v>0.10341661999999996</v>
      </c>
      <c r="Z18" s="205"/>
      <c r="AA18" s="205"/>
      <c r="AB18" s="205"/>
      <c r="AC18" s="90"/>
      <c r="AE18" s="90">
        <f>X18</f>
        <v>1.2</v>
      </c>
      <c r="AG18" s="187" t="s">
        <v>151</v>
      </c>
    </row>
    <row r="19" spans="2:38" ht="30" customHeight="1">
      <c r="B19" s="98">
        <f>VLOOKUP(D19,'100-year Street Criteria'!A$7:AB$32,2,FALSE)</f>
        <v>12885</v>
      </c>
      <c r="C19" s="99" t="s">
        <v>100</v>
      </c>
      <c r="D19" s="99" t="s">
        <v>25</v>
      </c>
      <c r="E19" s="100">
        <v>0</v>
      </c>
      <c r="F19" s="101">
        <f>Y18</f>
        <v>0.10341661999999996</v>
      </c>
      <c r="G19" s="100">
        <f t="shared" si="0"/>
        <v>0.10341661999999996</v>
      </c>
      <c r="H19" s="102">
        <v>1.1000000000000001</v>
      </c>
      <c r="I19" s="103">
        <v>2</v>
      </c>
      <c r="J19" s="104">
        <v>1.7000000000000001E-2</v>
      </c>
      <c r="K19" s="104">
        <v>6.1</v>
      </c>
      <c r="L19" s="105">
        <f>19</f>
        <v>19</v>
      </c>
      <c r="M19" s="106" t="str">
        <f t="shared" si="1"/>
        <v>Yes</v>
      </c>
      <c r="N19" s="107">
        <f t="shared" ref="N19" si="37">W19</f>
        <v>0.10833333333333334</v>
      </c>
      <c r="O19" s="104">
        <v>1.07</v>
      </c>
      <c r="P19" s="107">
        <f t="shared" si="2"/>
        <v>0.11591666666666668</v>
      </c>
      <c r="Q19" s="106" t="str">
        <f t="shared" si="3"/>
        <v>Yes</v>
      </c>
      <c r="R19" s="99">
        <f t="shared" si="16"/>
        <v>12885</v>
      </c>
      <c r="S19" s="140" t="s">
        <v>139</v>
      </c>
      <c r="T19" s="100">
        <f t="shared" ref="T19" si="38">E19</f>
        <v>0</v>
      </c>
      <c r="U19" s="100">
        <f t="shared" ref="U19" si="39">F19</f>
        <v>0.10341661999999996</v>
      </c>
      <c r="V19" s="100">
        <f t="shared" si="5"/>
        <v>0.10341661999999996</v>
      </c>
      <c r="W19" s="141">
        <f>1.3/12</f>
        <v>0.10833333333333334</v>
      </c>
      <c r="X19" s="141">
        <v>0.1</v>
      </c>
      <c r="Y19" s="142">
        <f t="shared" si="6"/>
        <v>3.4166199999999536E-3</v>
      </c>
      <c r="Z19" s="87"/>
      <c r="AA19" s="187" t="s">
        <v>143</v>
      </c>
      <c r="AB19" s="205"/>
      <c r="AC19" s="90"/>
      <c r="AE19" s="90">
        <f t="shared" si="17"/>
        <v>1.3</v>
      </c>
    </row>
    <row r="20" spans="2:38" ht="30" customHeight="1">
      <c r="B20" s="98">
        <f>VLOOKUP(D20,'100-year Street Criteria'!A$7:AB$32,2,FALSE)</f>
        <v>13325</v>
      </c>
      <c r="C20" s="99" t="s">
        <v>100</v>
      </c>
      <c r="D20" s="99" t="s">
        <v>26</v>
      </c>
      <c r="E20" s="100">
        <f>VLOOKUP(D20,'10-Yr Runoff'!B$6:L$35,11,FALSE)</f>
        <v>1.35874615</v>
      </c>
      <c r="F20" s="101"/>
      <c r="G20" s="100">
        <f t="shared" si="0"/>
        <v>1.35874615</v>
      </c>
      <c r="H20" s="102">
        <v>1.1000000000000001</v>
      </c>
      <c r="I20" s="103">
        <v>2</v>
      </c>
      <c r="J20" s="104">
        <v>1.7000000000000001E-2</v>
      </c>
      <c r="K20" s="104">
        <v>8.1</v>
      </c>
      <c r="L20" s="105">
        <f>19</f>
        <v>19</v>
      </c>
      <c r="M20" s="106" t="str">
        <f t="shared" si="1"/>
        <v>Yes</v>
      </c>
      <c r="N20" s="107">
        <f t="shared" ref="N20" si="40">W20</f>
        <v>0.19999999999999998</v>
      </c>
      <c r="O20" s="104">
        <v>2.06</v>
      </c>
      <c r="P20" s="107">
        <f t="shared" si="2"/>
        <v>0.41199999999999998</v>
      </c>
      <c r="Q20" s="106" t="str">
        <f t="shared" si="3"/>
        <v>Yes</v>
      </c>
      <c r="R20" s="99">
        <f t="shared" si="16"/>
        <v>13325</v>
      </c>
      <c r="S20" s="140" t="s">
        <v>137</v>
      </c>
      <c r="T20" s="100">
        <f t="shared" ref="T20" si="41">E20</f>
        <v>1.35874615</v>
      </c>
      <c r="U20" s="100">
        <f t="shared" ref="U20" si="42">F20</f>
        <v>0</v>
      </c>
      <c r="V20" s="100">
        <f t="shared" si="5"/>
        <v>1.35874615</v>
      </c>
      <c r="W20" s="141">
        <f>2.4/12</f>
        <v>0.19999999999999998</v>
      </c>
      <c r="X20" s="141">
        <v>1.24</v>
      </c>
      <c r="Y20" s="142">
        <f t="shared" si="6"/>
        <v>0.11874614999999999</v>
      </c>
      <c r="Z20" s="87"/>
      <c r="AA20" s="187"/>
      <c r="AB20" s="205"/>
      <c r="AC20" s="90"/>
      <c r="AE20" s="90">
        <f t="shared" si="17"/>
        <v>2.54</v>
      </c>
    </row>
    <row r="21" spans="2:38" ht="30" customHeight="1">
      <c r="B21" s="98">
        <f>VLOOKUP(D21,'100-year Street Criteria'!A$7:AB$32,2,FALSE)</f>
        <v>13325</v>
      </c>
      <c r="C21" s="99" t="s">
        <v>100</v>
      </c>
      <c r="D21" s="99" t="s">
        <v>26</v>
      </c>
      <c r="E21" s="100">
        <v>0</v>
      </c>
      <c r="F21" s="101">
        <f>Y20</f>
        <v>0.11874614999999999</v>
      </c>
      <c r="G21" s="100">
        <f t="shared" si="0"/>
        <v>0.11874614999999999</v>
      </c>
      <c r="H21" s="102">
        <v>1.1000000000000001</v>
      </c>
      <c r="I21" s="103">
        <v>2</v>
      </c>
      <c r="J21" s="104">
        <v>1.7000000000000001E-2</v>
      </c>
      <c r="K21" s="104">
        <v>2.9</v>
      </c>
      <c r="L21" s="105">
        <f>19</f>
        <v>19</v>
      </c>
      <c r="M21" s="106" t="str">
        <f t="shared" si="1"/>
        <v>Yes</v>
      </c>
      <c r="N21" s="107">
        <f t="shared" ref="N21" si="43">W21</f>
        <v>0.11666666666666665</v>
      </c>
      <c r="O21" s="104">
        <v>2.06</v>
      </c>
      <c r="P21" s="107">
        <f t="shared" si="2"/>
        <v>0.24033333333333332</v>
      </c>
      <c r="Q21" s="106" t="str">
        <f t="shared" si="3"/>
        <v>Yes</v>
      </c>
      <c r="R21" s="99">
        <f t="shared" si="16"/>
        <v>13325</v>
      </c>
      <c r="S21" s="140" t="s">
        <v>139</v>
      </c>
      <c r="T21" s="100">
        <f t="shared" ref="T21" si="44">E21</f>
        <v>0</v>
      </c>
      <c r="U21" s="100">
        <f t="shared" ref="U21" si="45">F21</f>
        <v>0.11874614999999999</v>
      </c>
      <c r="V21" s="100">
        <f t="shared" si="5"/>
        <v>0.11874614999999999</v>
      </c>
      <c r="W21" s="141">
        <f>1.4/12</f>
        <v>0.11666666666666665</v>
      </c>
      <c r="X21" s="141">
        <v>0.12</v>
      </c>
      <c r="Y21" s="142">
        <f t="shared" si="6"/>
        <v>-1.2538500000000008E-3</v>
      </c>
      <c r="Z21" s="87"/>
      <c r="AA21" s="187" t="s">
        <v>143</v>
      </c>
      <c r="AE21" s="90">
        <f t="shared" si="17"/>
        <v>2.66</v>
      </c>
    </row>
    <row r="22" spans="2:38" ht="30" customHeight="1">
      <c r="B22" s="98">
        <f>VLOOKUP(D22,'100-year Street Criteria'!A$7:AB$32,2,FALSE)</f>
        <v>13750</v>
      </c>
      <c r="C22" s="99" t="s">
        <v>100</v>
      </c>
      <c r="D22" s="99" t="s">
        <v>27</v>
      </c>
      <c r="E22" s="100">
        <f>VLOOKUP(D22,'10-Yr Runoff'!B$6:L$35,11,FALSE)</f>
        <v>1.1915059699999999</v>
      </c>
      <c r="F22" s="101"/>
      <c r="G22" s="100">
        <f t="shared" ref="G22" si="46">E22+F22</f>
        <v>1.1915059699999999</v>
      </c>
      <c r="H22" s="102">
        <v>2.2000000000000002</v>
      </c>
      <c r="I22" s="103">
        <v>2</v>
      </c>
      <c r="J22" s="104">
        <v>1.7000000000000001E-2</v>
      </c>
      <c r="K22" s="104">
        <v>6.8</v>
      </c>
      <c r="L22" s="105">
        <f>19</f>
        <v>19</v>
      </c>
      <c r="M22" s="106" t="str">
        <f t="shared" ref="M22" si="47">IF(L22&gt;=K22,"Yes","No")</f>
        <v>Yes</v>
      </c>
      <c r="N22" s="107">
        <f t="shared" ref="N22" si="48">W22</f>
        <v>0.14166666666666666</v>
      </c>
      <c r="O22" s="104">
        <v>2.58</v>
      </c>
      <c r="P22" s="107">
        <f t="shared" ref="P22" si="49">N22*O22</f>
        <v>0.36549999999999999</v>
      </c>
      <c r="Q22" s="106" t="str">
        <f t="shared" ref="Q22" si="50">IF(P22&lt;=6.5,"Yes","No")</f>
        <v>Yes</v>
      </c>
      <c r="R22" s="99">
        <f t="shared" ref="R22" si="51">B22</f>
        <v>13750</v>
      </c>
      <c r="S22" s="140" t="s">
        <v>137</v>
      </c>
      <c r="T22" s="100">
        <f t="shared" ref="T22" si="52">E22</f>
        <v>1.1915059699999999</v>
      </c>
      <c r="U22" s="100">
        <f t="shared" ref="U22" si="53">F22</f>
        <v>0</v>
      </c>
      <c r="V22" s="100">
        <f t="shared" ref="V22" si="54">T22+U22</f>
        <v>1.1915059699999999</v>
      </c>
      <c r="W22" s="141">
        <f>1.7/12</f>
        <v>0.14166666666666666</v>
      </c>
      <c r="X22" s="141">
        <v>1.0900000000000001</v>
      </c>
      <c r="Y22" s="142">
        <f t="shared" ref="Y22" si="55">V22-X22</f>
        <v>0.10150596999999983</v>
      </c>
      <c r="Z22" s="87"/>
      <c r="AA22" s="187" t="s">
        <v>147</v>
      </c>
      <c r="AC22" s="90"/>
      <c r="AE22" s="90">
        <f t="shared" si="17"/>
        <v>3.75</v>
      </c>
      <c r="AL22" s="187" t="s">
        <v>101</v>
      </c>
    </row>
    <row r="23" spans="2:38" ht="30" customHeight="1">
      <c r="B23" s="98">
        <f>VLOOKUP(D23,'100-year Street Criteria'!A$7:AB$32,2,FALSE)</f>
        <v>14335</v>
      </c>
      <c r="C23" s="99" t="s">
        <v>100</v>
      </c>
      <c r="D23" s="99" t="s">
        <v>28</v>
      </c>
      <c r="E23" s="100">
        <f>VLOOKUP(D23,'10-Yr Runoff'!B$6:L$35,11,FALSE)</f>
        <v>1.8845424499999996</v>
      </c>
      <c r="F23" s="101">
        <f>Y22</f>
        <v>0.10150596999999983</v>
      </c>
      <c r="G23" s="100">
        <f t="shared" ref="G23" si="56">E23+F23</f>
        <v>1.9860484199999995</v>
      </c>
      <c r="H23" s="102">
        <v>1.6</v>
      </c>
      <c r="I23" s="103">
        <v>2</v>
      </c>
      <c r="J23" s="104">
        <v>1.7000000000000001E-2</v>
      </c>
      <c r="K23" s="104">
        <v>8.6999999999999993</v>
      </c>
      <c r="L23" s="105">
        <f>19</f>
        <v>19</v>
      </c>
      <c r="M23" s="106" t="str">
        <f t="shared" ref="M23" si="57">IF(L23&gt;=K23,"Yes","No")</f>
        <v>Yes</v>
      </c>
      <c r="N23" s="107">
        <f t="shared" ref="N23" si="58">W23</f>
        <v>0.16666666666666666</v>
      </c>
      <c r="O23" s="104">
        <v>2.61</v>
      </c>
      <c r="P23" s="107">
        <f t="shared" ref="P23" si="59">N23*O23</f>
        <v>0.43499999999999994</v>
      </c>
      <c r="Q23" s="106" t="str">
        <f t="shared" ref="Q23" si="60">IF(P23&lt;=6.5,"Yes","No")</f>
        <v>Yes</v>
      </c>
      <c r="R23" s="99">
        <f t="shared" ref="R23" si="61">B23</f>
        <v>14335</v>
      </c>
      <c r="S23" s="140" t="s">
        <v>139</v>
      </c>
      <c r="T23" s="100">
        <f t="shared" ref="T23" si="62">E23</f>
        <v>1.8845424499999996</v>
      </c>
      <c r="U23" s="100">
        <f t="shared" ref="U23" si="63">F23</f>
        <v>0.10150596999999983</v>
      </c>
      <c r="V23" s="100">
        <f t="shared" ref="V23" si="64">T23+U23</f>
        <v>1.9860484199999995</v>
      </c>
      <c r="W23" s="141">
        <f>2/12</f>
        <v>0.16666666666666666</v>
      </c>
      <c r="X23" s="141">
        <v>1.62</v>
      </c>
      <c r="Y23" s="142">
        <f t="shared" ref="Y23" si="65">V23-X23</f>
        <v>0.36604841999999937</v>
      </c>
      <c r="AC23" s="90"/>
      <c r="AE23" s="90">
        <f t="shared" si="17"/>
        <v>5.37</v>
      </c>
      <c r="AL23" s="187"/>
    </row>
    <row r="24" spans="2:38" ht="30" customHeight="1">
      <c r="B24" s="98">
        <f>VLOOKUP(D24,'100-year Street Criteria'!A$7:AB$32,2,FALSE)</f>
        <v>14335</v>
      </c>
      <c r="C24" s="99" t="s">
        <v>100</v>
      </c>
      <c r="D24" s="99" t="s">
        <v>28</v>
      </c>
      <c r="E24" s="100"/>
      <c r="F24" s="101">
        <f>Y23</f>
        <v>0.36604841999999937</v>
      </c>
      <c r="G24" s="100">
        <f t="shared" ref="G24" si="66">E24+F24</f>
        <v>0.36604841999999937</v>
      </c>
      <c r="H24" s="102">
        <v>1.6</v>
      </c>
      <c r="I24" s="103">
        <v>2</v>
      </c>
      <c r="J24" s="104">
        <v>1.7000000000000001E-2</v>
      </c>
      <c r="K24" s="104">
        <v>4.7</v>
      </c>
      <c r="L24" s="105">
        <f>19</f>
        <v>19</v>
      </c>
      <c r="M24" s="106" t="str">
        <f t="shared" ref="M24" si="67">IF(L24&gt;=K24,"Yes","No")</f>
        <v>Yes</v>
      </c>
      <c r="N24" s="107">
        <f t="shared" ref="N24" si="68">W24</f>
        <v>9.1666666666666674E-2</v>
      </c>
      <c r="O24" s="104">
        <v>1.71</v>
      </c>
      <c r="P24" s="107">
        <f t="shared" ref="P24" si="69">N24*O24</f>
        <v>0.15675</v>
      </c>
      <c r="Q24" s="106" t="str">
        <f t="shared" ref="Q24" si="70">IF(P24&lt;=6.5,"Yes","No")</f>
        <v>Yes</v>
      </c>
      <c r="R24" s="99">
        <f t="shared" ref="R24" si="71">B24</f>
        <v>14335</v>
      </c>
      <c r="S24" s="140" t="s">
        <v>139</v>
      </c>
      <c r="T24" s="100">
        <f t="shared" ref="T24" si="72">E24</f>
        <v>0</v>
      </c>
      <c r="U24" s="100">
        <f t="shared" ref="U24" si="73">F24</f>
        <v>0.36604841999999937</v>
      </c>
      <c r="V24" s="100">
        <f t="shared" ref="V24" si="74">T24+U24</f>
        <v>0.36604841999999937</v>
      </c>
      <c r="W24" s="141">
        <f>1.1/12</f>
        <v>9.1666666666666674E-2</v>
      </c>
      <c r="X24" s="141">
        <v>0.36</v>
      </c>
      <c r="Y24" s="142">
        <f t="shared" ref="Y24" si="75">V24-X24</f>
        <v>6.0484199999993882E-3</v>
      </c>
      <c r="Z24" s="87"/>
      <c r="AA24" s="187" t="s">
        <v>143</v>
      </c>
      <c r="AC24" s="90"/>
      <c r="AE24" s="90">
        <f t="shared" si="17"/>
        <v>5.73</v>
      </c>
      <c r="AG24" s="187" t="s">
        <v>150</v>
      </c>
    </row>
    <row r="25" spans="2:38" ht="30" customHeight="1">
      <c r="B25" s="98">
        <f>VLOOKUP(D25,'100-year Street Criteria'!A$7:AB$32,2,FALSE)</f>
        <v>15005</v>
      </c>
      <c r="C25" s="99" t="s">
        <v>100</v>
      </c>
      <c r="D25" s="99" t="s">
        <v>29</v>
      </c>
      <c r="E25" s="100">
        <f>VLOOKUP(D25,'10-Yr Runoff'!B$6:L$35,11,FALSE)</f>
        <v>1.8181670599999997</v>
      </c>
      <c r="F25" s="101"/>
      <c r="G25" s="100">
        <f t="shared" ref="G25" si="76">E25+F25</f>
        <v>1.8181670599999997</v>
      </c>
      <c r="H25" s="102">
        <v>1.3</v>
      </c>
      <c r="I25" s="103">
        <v>2</v>
      </c>
      <c r="J25" s="104">
        <v>1.7000000000000001E-2</v>
      </c>
      <c r="K25" s="104">
        <v>8.8000000000000007</v>
      </c>
      <c r="L25" s="105">
        <f>19</f>
        <v>19</v>
      </c>
      <c r="M25" s="106" t="str">
        <f t="shared" ref="M25" si="77">IF(L25&gt;=K25,"Yes","No")</f>
        <v>Yes</v>
      </c>
      <c r="N25" s="107">
        <f t="shared" ref="N25" si="78">W25</f>
        <v>0.15833333333333333</v>
      </c>
      <c r="O25" s="104">
        <v>2.36</v>
      </c>
      <c r="P25" s="107">
        <f t="shared" ref="P25" si="79">N25*O25</f>
        <v>0.37366666666666665</v>
      </c>
      <c r="Q25" s="106" t="str">
        <f t="shared" ref="Q25" si="80">IF(P25&lt;=6.5,"Yes","No")</f>
        <v>Yes</v>
      </c>
      <c r="R25" s="99">
        <f t="shared" ref="R25" si="81">B25</f>
        <v>15005</v>
      </c>
      <c r="S25" s="140" t="s">
        <v>137</v>
      </c>
      <c r="T25" s="100">
        <f t="shared" ref="T25" si="82">E25</f>
        <v>1.8181670599999997</v>
      </c>
      <c r="U25" s="100">
        <f t="shared" ref="U25" si="83">F25</f>
        <v>0</v>
      </c>
      <c r="V25" s="100">
        <f t="shared" ref="V25" si="84">T25+U25</f>
        <v>1.8181670599999997</v>
      </c>
      <c r="W25" s="141">
        <f>1.9/12</f>
        <v>0.15833333333333333</v>
      </c>
      <c r="X25" s="141">
        <v>1.57</v>
      </c>
      <c r="Y25" s="142">
        <f t="shared" ref="Y25" si="85">V25-X25</f>
        <v>0.24816705999999966</v>
      </c>
    </row>
    <row r="26" spans="2:38" ht="30" customHeight="1" thickBot="1">
      <c r="B26" s="182">
        <v>15020</v>
      </c>
      <c r="C26" s="130" t="s">
        <v>100</v>
      </c>
      <c r="D26" s="130" t="s">
        <v>29</v>
      </c>
      <c r="E26" s="131"/>
      <c r="F26" s="149">
        <f>Y25</f>
        <v>0.24816705999999966</v>
      </c>
      <c r="G26" s="131">
        <f t="shared" ref="G26" si="86">E26+F26</f>
        <v>0.24816705999999966</v>
      </c>
      <c r="H26" s="147">
        <v>1.3</v>
      </c>
      <c r="I26" s="132">
        <v>2</v>
      </c>
      <c r="J26" s="133">
        <v>1.7000000000000001E-2</v>
      </c>
      <c r="K26" s="133">
        <v>4.2</v>
      </c>
      <c r="L26" s="184">
        <f>19</f>
        <v>19</v>
      </c>
      <c r="M26" s="190" t="s">
        <v>203</v>
      </c>
      <c r="N26" s="136">
        <f t="shared" ref="N26" si="87">W26</f>
        <v>8.3333333333333329E-2</v>
      </c>
      <c r="O26" s="133">
        <v>1.43</v>
      </c>
      <c r="P26" s="136">
        <f t="shared" ref="P26" si="88">N26*O26</f>
        <v>0.11916666666666666</v>
      </c>
      <c r="Q26" s="190" t="s">
        <v>203</v>
      </c>
      <c r="R26" s="130">
        <f t="shared" ref="R26" si="89">B26</f>
        <v>15020</v>
      </c>
      <c r="S26" s="144" t="s">
        <v>139</v>
      </c>
      <c r="T26" s="131">
        <f t="shared" ref="T26" si="90">E26</f>
        <v>0</v>
      </c>
      <c r="U26" s="131">
        <f t="shared" ref="U26" si="91">F26</f>
        <v>0.24816705999999966</v>
      </c>
      <c r="V26" s="131">
        <f t="shared" ref="V26" si="92">T26+U26</f>
        <v>0.24816705999999966</v>
      </c>
      <c r="W26" s="145">
        <f>1/12</f>
        <v>8.3333333333333329E-2</v>
      </c>
      <c r="X26" s="145">
        <v>0.25</v>
      </c>
      <c r="Y26" s="146">
        <f t="shared" ref="Y26" si="93">V26-X26</f>
        <v>-1.8329400000003382E-3</v>
      </c>
      <c r="Z26" s="87"/>
      <c r="AA26" s="187" t="s">
        <v>143</v>
      </c>
    </row>
    <row r="27" spans="2:38" ht="30" customHeight="1"/>
    <row r="28" spans="2:38" ht="30" customHeight="1"/>
    <row r="29" spans="2:38" ht="30" customHeight="1"/>
    <row r="30" spans="2:38" ht="30" customHeight="1"/>
    <row r="31" spans="2:38" ht="30" customHeight="1"/>
    <row r="32" spans="2:38" ht="30" customHeight="1"/>
    <row r="33" spans="30:30" ht="30" customHeight="1"/>
    <row r="34" spans="30:30" ht="30" customHeight="1"/>
    <row r="35" spans="30:30" ht="30" customHeight="1"/>
    <row r="36" spans="30:30" ht="30" customHeight="1"/>
    <row r="37" spans="30:30" ht="30" customHeight="1"/>
    <row r="38" spans="30:30" ht="30" customHeight="1"/>
    <row r="39" spans="30:30" ht="30" customHeight="1">
      <c r="AD39" s="187" t="s">
        <v>101</v>
      </c>
    </row>
    <row r="40" spans="30:30" ht="30" customHeight="1"/>
    <row r="41" spans="30:30" ht="30" customHeight="1"/>
    <row r="42" spans="30:30" ht="30" customHeight="1"/>
    <row r="43" spans="30:30" ht="30" customHeight="1"/>
    <row r="44" spans="30:30" ht="30" customHeight="1"/>
    <row r="45" spans="30:30" ht="30" customHeight="1"/>
    <row r="46" spans="30:30" ht="30" customHeight="1"/>
    <row r="47" spans="30:30" ht="30" customHeight="1"/>
    <row r="48" spans="30:30" ht="30" customHeight="1"/>
  </sheetData>
  <mergeCells count="25">
    <mergeCell ref="Y8:Y9"/>
    <mergeCell ref="B10:Y10"/>
    <mergeCell ref="I8:I9"/>
    <mergeCell ref="J8:J9"/>
    <mergeCell ref="R8:R9"/>
    <mergeCell ref="S8:S9"/>
    <mergeCell ref="P8:P9"/>
    <mergeCell ref="M8:M9"/>
    <mergeCell ref="Q8:Q9"/>
    <mergeCell ref="B6:Y6"/>
    <mergeCell ref="W8:W9"/>
    <mergeCell ref="V8:V9"/>
    <mergeCell ref="D8:D9"/>
    <mergeCell ref="G8:G9"/>
    <mergeCell ref="U8:U9"/>
    <mergeCell ref="T8:T9"/>
    <mergeCell ref="E8:E9"/>
    <mergeCell ref="F8:F9"/>
    <mergeCell ref="N8:N9"/>
    <mergeCell ref="O8:O9"/>
    <mergeCell ref="K8:K9"/>
    <mergeCell ref="L8:L9"/>
    <mergeCell ref="B8:C8"/>
    <mergeCell ref="H8:H9"/>
    <mergeCell ref="X8:X9"/>
  </mergeCells>
  <conditionalFormatting sqref="M11:M25 Q11:Q25">
    <cfRule type="cellIs" dxfId="41" priority="55" stopIfTrue="1" operator="equal">
      <formula>"No"</formula>
    </cfRule>
    <cfRule type="cellIs" dxfId="40" priority="56" stopIfTrue="1" operator="equal">
      <formula>"Yes"</formula>
    </cfRule>
    <cfRule type="expression" dxfId="39" priority="57" stopIfTrue="1">
      <formula>#REF!</formula>
    </cfRule>
  </conditionalFormatting>
  <printOptions horizontalCentered="1"/>
  <pageMargins left="0.5" right="0.5" top="0.75" bottom="0.75" header="0.3" footer="0.3"/>
  <pageSetup paperSize="3" scale="64" fitToHeight="3" orientation="landscape" horizont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D40"/>
  <sheetViews>
    <sheetView zoomScale="70" zoomScaleNormal="70" workbookViewId="0">
      <pane ySplit="6" topLeftCell="A13" activePane="bottomLeft" state="frozen"/>
      <selection activeCell="B1" sqref="B1"/>
      <selection pane="bottomLeft" activeCell="B3" sqref="B3"/>
    </sheetView>
  </sheetViews>
  <sheetFormatPr defaultColWidth="11.140625" defaultRowHeight="20.100000000000001" customHeight="1"/>
  <cols>
    <col min="1" max="1" width="11.140625" style="78"/>
    <col min="2" max="2" width="14.42578125" style="94" customWidth="1"/>
    <col min="3" max="3" width="19" style="94" customWidth="1"/>
    <col min="4" max="4" width="15.42578125" style="94" customWidth="1"/>
    <col min="5" max="5" width="12" style="94" customWidth="1"/>
    <col min="6" max="6" width="13.5703125" style="88" customWidth="1"/>
    <col min="7" max="7" width="12.85546875" style="88" customWidth="1"/>
    <col min="8" max="8" width="12.140625" style="88" customWidth="1"/>
    <col min="9" max="9" width="10" style="78" customWidth="1"/>
    <col min="10" max="10" width="13.140625" style="78" customWidth="1"/>
    <col min="11" max="11" width="10.7109375" style="78" hidden="1" customWidth="1"/>
    <col min="12" max="12" width="10.28515625" style="78" hidden="1" customWidth="1"/>
    <col min="13" max="13" width="0" style="78" hidden="1" customWidth="1"/>
    <col min="14" max="14" width="12.5703125" style="78" customWidth="1"/>
    <col min="15" max="15" width="15.85546875" style="78" customWidth="1"/>
    <col min="16" max="16" width="12.5703125" style="78" hidden="1" customWidth="1"/>
    <col min="17" max="17" width="11.140625" style="78" hidden="1" customWidth="1"/>
    <col min="18" max="18" width="11.85546875" style="88" customWidth="1"/>
    <col min="19" max="19" width="27.85546875" style="94" customWidth="1"/>
    <col min="20" max="20" width="16.140625" style="94" customWidth="1"/>
    <col min="21" max="21" width="11.28515625" style="88" customWidth="1"/>
    <col min="22" max="22" width="9.28515625" style="95" customWidth="1"/>
    <col min="23" max="23" width="9.28515625" style="95" hidden="1" customWidth="1"/>
    <col min="24" max="24" width="12.42578125" style="95" customWidth="1"/>
    <col min="25" max="25" width="14.42578125" style="78" customWidth="1"/>
    <col min="26" max="26" width="14.42578125" style="95" bestFit="1" customWidth="1"/>
    <col min="27" max="28" width="15.85546875" style="95" customWidth="1"/>
    <col min="29" max="31" width="11.140625" style="78"/>
    <col min="32" max="32" width="45.5703125" style="78" customWidth="1"/>
    <col min="33" max="16384" width="11.140625" style="78"/>
  </cols>
  <sheetData>
    <row r="2" spans="1:30" ht="15" customHeight="1">
      <c r="B2" s="230" t="s">
        <v>206</v>
      </c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</row>
    <row r="3" spans="1:30" ht="21" customHeight="1" thickBot="1"/>
    <row r="4" spans="1:30" ht="36.75" customHeight="1">
      <c r="B4" s="113" t="s">
        <v>77</v>
      </c>
      <c r="C4" s="248" t="s">
        <v>98</v>
      </c>
      <c r="D4" s="248" t="s">
        <v>78</v>
      </c>
      <c r="E4" s="248" t="s">
        <v>79</v>
      </c>
      <c r="F4" s="255" t="s">
        <v>80</v>
      </c>
      <c r="G4" s="255" t="s">
        <v>81</v>
      </c>
      <c r="H4" s="259" t="s">
        <v>82</v>
      </c>
      <c r="I4" s="259" t="s">
        <v>145</v>
      </c>
      <c r="J4" s="259" t="s">
        <v>83</v>
      </c>
      <c r="K4" s="114" t="s">
        <v>84</v>
      </c>
      <c r="L4" s="115" t="s">
        <v>85</v>
      </c>
      <c r="M4" s="116" t="s">
        <v>86</v>
      </c>
      <c r="N4" s="259" t="s">
        <v>87</v>
      </c>
      <c r="O4" s="253" t="s">
        <v>102</v>
      </c>
      <c r="P4" s="114" t="s">
        <v>146</v>
      </c>
      <c r="Q4" s="116" t="s">
        <v>89</v>
      </c>
      <c r="R4" s="255" t="s">
        <v>90</v>
      </c>
      <c r="S4" s="248" t="s">
        <v>91</v>
      </c>
      <c r="T4" s="248" t="s">
        <v>92</v>
      </c>
      <c r="U4" s="255" t="s">
        <v>93</v>
      </c>
      <c r="V4" s="257" t="s">
        <v>94</v>
      </c>
      <c r="W4" s="259" t="s">
        <v>144</v>
      </c>
      <c r="X4" s="259" t="s">
        <v>87</v>
      </c>
      <c r="Y4" s="253" t="s">
        <v>102</v>
      </c>
      <c r="Z4" s="257" t="s">
        <v>95</v>
      </c>
      <c r="AA4" s="263" t="s">
        <v>152</v>
      </c>
      <c r="AB4" s="261" t="s">
        <v>96</v>
      </c>
      <c r="AC4" s="112"/>
    </row>
    <row r="5" spans="1:30" ht="25.5" customHeight="1" thickBot="1">
      <c r="B5" s="117" t="s">
        <v>97</v>
      </c>
      <c r="C5" s="249"/>
      <c r="D5" s="249"/>
      <c r="E5" s="249"/>
      <c r="F5" s="256"/>
      <c r="G5" s="256"/>
      <c r="H5" s="260"/>
      <c r="I5" s="260"/>
      <c r="J5" s="260"/>
      <c r="K5" s="118"/>
      <c r="L5" s="119"/>
      <c r="M5" s="120"/>
      <c r="N5" s="260"/>
      <c r="O5" s="254"/>
      <c r="P5" s="118"/>
      <c r="Q5" s="120"/>
      <c r="R5" s="256"/>
      <c r="S5" s="249"/>
      <c r="T5" s="249"/>
      <c r="U5" s="256"/>
      <c r="V5" s="258"/>
      <c r="W5" s="260"/>
      <c r="X5" s="260"/>
      <c r="Y5" s="254"/>
      <c r="Z5" s="258"/>
      <c r="AA5" s="264"/>
      <c r="AB5" s="262"/>
      <c r="AC5" s="112"/>
    </row>
    <row r="6" spans="1:30" ht="30" customHeight="1" thickBot="1">
      <c r="B6" s="245" t="s">
        <v>130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7"/>
    </row>
    <row r="7" spans="1:30" ht="30" customHeight="1">
      <c r="A7" s="179" t="s">
        <v>21</v>
      </c>
      <c r="B7" s="121">
        <v>10450</v>
      </c>
      <c r="C7" s="122" t="s">
        <v>100</v>
      </c>
      <c r="D7" s="122" t="s">
        <v>21</v>
      </c>
      <c r="E7" s="148">
        <f>VLOOKUP(D7,'100-yr Runoff'!B$6:L$34,11,FALSE)</f>
        <v>3.2666820800000007</v>
      </c>
      <c r="F7" s="123"/>
      <c r="G7" s="123">
        <f>E7+F7</f>
        <v>3.2666820800000007</v>
      </c>
      <c r="H7" s="150">
        <f>VLOOKUP(D7,'10-year Spread'!D$11:H$26,5,FALSE)</f>
        <v>2.85</v>
      </c>
      <c r="I7" s="125">
        <v>2</v>
      </c>
      <c r="J7" s="126">
        <v>1.7000000000000001E-2</v>
      </c>
      <c r="K7" s="126">
        <v>8.27</v>
      </c>
      <c r="L7" s="125">
        <v>13</v>
      </c>
      <c r="M7" s="127" t="str">
        <f>IF(L7&gt;=K7,"Yes","No")</f>
        <v>Yes</v>
      </c>
      <c r="N7" s="128">
        <f>X7</f>
        <v>0.19166666666666665</v>
      </c>
      <c r="O7" s="127" t="str">
        <f>IF(N7&lt;=0.66,"Yes","No")</f>
        <v>Yes</v>
      </c>
      <c r="P7" s="129" t="e">
        <f>N7*O7</f>
        <v>#VALUE!</v>
      </c>
      <c r="Q7" s="127" t="e">
        <f t="shared" ref="Q7" si="0">IF(P7&lt;=6.5,"Yes","No")</f>
        <v>#VALUE!</v>
      </c>
      <c r="R7" s="122">
        <f>B7</f>
        <v>10450</v>
      </c>
      <c r="S7" s="137" t="s">
        <v>137</v>
      </c>
      <c r="T7" s="123">
        <f>E7</f>
        <v>3.2666820800000007</v>
      </c>
      <c r="U7" s="123">
        <f>F7</f>
        <v>0</v>
      </c>
      <c r="V7" s="123">
        <f>U7+T7</f>
        <v>3.2666820800000007</v>
      </c>
      <c r="W7" s="148">
        <v>2.2999999999999998</v>
      </c>
      <c r="X7" s="138">
        <f>W7/12</f>
        <v>0.19166666666666665</v>
      </c>
      <c r="Y7" s="127" t="str">
        <f>IF(X7&lt;=0.66,"Yes","No")</f>
        <v>Yes</v>
      </c>
      <c r="Z7" s="138">
        <v>2.37</v>
      </c>
      <c r="AA7" s="138" t="s">
        <v>21</v>
      </c>
      <c r="AB7" s="139">
        <f>V7-Z7</f>
        <v>0.8966820800000006</v>
      </c>
      <c r="AC7" s="108"/>
      <c r="AD7" s="108"/>
    </row>
    <row r="8" spans="1:30" ht="30" customHeight="1">
      <c r="A8" s="180" t="s">
        <v>21</v>
      </c>
      <c r="B8" s="98">
        <v>10465</v>
      </c>
      <c r="C8" s="99" t="s">
        <v>100</v>
      </c>
      <c r="D8" s="99" t="s">
        <v>21</v>
      </c>
      <c r="E8" s="101"/>
      <c r="F8" s="100">
        <f>AB7</f>
        <v>0.8966820800000006</v>
      </c>
      <c r="G8" s="100">
        <f t="shared" ref="G8:G22" si="1">E8+F8</f>
        <v>0.8966820800000006</v>
      </c>
      <c r="H8" s="191">
        <f>VLOOKUP(D8,'10-year Spread'!D$11:H$26,5,FALSE)</f>
        <v>2.85</v>
      </c>
      <c r="I8" s="103">
        <v>2</v>
      </c>
      <c r="J8" s="104">
        <v>1.7000000000000001E-2</v>
      </c>
      <c r="K8" s="104"/>
      <c r="L8" s="103"/>
      <c r="M8" s="106"/>
      <c r="N8" s="111">
        <f t="shared" ref="N8:N18" si="2">X8</f>
        <v>0.11666666666666665</v>
      </c>
      <c r="O8" s="106" t="str">
        <f t="shared" ref="O8:O22" si="3">IF(N8&lt;=0.66,"Yes","No")</f>
        <v>Yes</v>
      </c>
      <c r="P8" s="107"/>
      <c r="Q8" s="106"/>
      <c r="R8" s="99">
        <f t="shared" ref="R8:R22" si="4">B8</f>
        <v>10465</v>
      </c>
      <c r="S8" s="140" t="s">
        <v>137</v>
      </c>
      <c r="T8" s="100">
        <f>E8</f>
        <v>0</v>
      </c>
      <c r="U8" s="100">
        <f>F8</f>
        <v>0.8966820800000006</v>
      </c>
      <c r="V8" s="100">
        <f>U8+T8</f>
        <v>0.8966820800000006</v>
      </c>
      <c r="W8" s="101">
        <v>1.4</v>
      </c>
      <c r="X8" s="141">
        <f t="shared" ref="X8:X22" si="5">W8/12</f>
        <v>0.11666666666666665</v>
      </c>
      <c r="Y8" s="106" t="str">
        <f>IF(X8&lt;=0.66,"Yes","No")</f>
        <v>Yes</v>
      </c>
      <c r="Z8" s="141">
        <v>0.85</v>
      </c>
      <c r="AA8" s="141" t="s">
        <v>177</v>
      </c>
      <c r="AB8" s="142">
        <f>V8-Z8</f>
        <v>4.6682080000000625E-2</v>
      </c>
      <c r="AD8" s="109"/>
    </row>
    <row r="9" spans="1:30" ht="30" customHeight="1">
      <c r="A9" s="180" t="s">
        <v>22</v>
      </c>
      <c r="B9" s="98">
        <v>11200</v>
      </c>
      <c r="C9" s="99" t="s">
        <v>100</v>
      </c>
      <c r="D9" s="99" t="s">
        <v>22</v>
      </c>
      <c r="E9" s="101">
        <f>VLOOKUP(D9,'100-yr Runoff'!B$6:L$34,11,FALSE)</f>
        <v>3.0471767199999999</v>
      </c>
      <c r="F9" s="143"/>
      <c r="G9" s="100">
        <f t="shared" si="1"/>
        <v>3.0471767199999999</v>
      </c>
      <c r="H9" s="191">
        <f>VLOOKUP(D9,'10-year Spread'!D$11:H$26,5,FALSE)</f>
        <v>2.4</v>
      </c>
      <c r="I9" s="103">
        <v>2</v>
      </c>
      <c r="J9" s="104">
        <v>1.7000000000000001E-2</v>
      </c>
      <c r="K9" s="104"/>
      <c r="L9" s="103"/>
      <c r="M9" s="106"/>
      <c r="N9" s="111">
        <f t="shared" si="2"/>
        <v>0.19166666666666665</v>
      </c>
      <c r="O9" s="106" t="str">
        <f t="shared" si="3"/>
        <v>Yes</v>
      </c>
      <c r="P9" s="107"/>
      <c r="Q9" s="106"/>
      <c r="R9" s="99">
        <f t="shared" si="4"/>
        <v>11200</v>
      </c>
      <c r="S9" s="140" t="s">
        <v>137</v>
      </c>
      <c r="T9" s="100">
        <f t="shared" ref="T9:T18" si="6">E9</f>
        <v>3.0471767199999999</v>
      </c>
      <c r="U9" s="100">
        <f t="shared" ref="U9:U18" si="7">F9</f>
        <v>0</v>
      </c>
      <c r="V9" s="100">
        <f t="shared" ref="V9:V18" si="8">U9+T9</f>
        <v>3.0471767199999999</v>
      </c>
      <c r="W9" s="101">
        <v>2.2999999999999998</v>
      </c>
      <c r="X9" s="141">
        <f t="shared" si="5"/>
        <v>0.19166666666666665</v>
      </c>
      <c r="Y9" s="106" t="str">
        <f t="shared" ref="Y9:Y22" si="9">IF(X9&lt;=0.66,"Yes","No")</f>
        <v>Yes</v>
      </c>
      <c r="Z9" s="141">
        <v>2.2599999999999998</v>
      </c>
      <c r="AA9" s="141" t="s">
        <v>22</v>
      </c>
      <c r="AB9" s="142">
        <f t="shared" ref="AB9:AB18" si="10">V9-Z9</f>
        <v>0.78717672000000016</v>
      </c>
      <c r="AC9" s="95"/>
      <c r="AD9" s="95"/>
    </row>
    <row r="10" spans="1:30" s="110" customFormat="1" ht="31.5" customHeight="1">
      <c r="A10" s="180" t="s">
        <v>22</v>
      </c>
      <c r="B10" s="98">
        <v>11215</v>
      </c>
      <c r="C10" s="99" t="s">
        <v>100</v>
      </c>
      <c r="D10" s="99" t="s">
        <v>22</v>
      </c>
      <c r="E10" s="82"/>
      <c r="F10" s="101">
        <f>AB9</f>
        <v>0.78717672000000016</v>
      </c>
      <c r="G10" s="101">
        <f t="shared" si="1"/>
        <v>0.78717672000000016</v>
      </c>
      <c r="H10" s="191">
        <f>VLOOKUP(D10,'10-year Spread'!D$11:H$26,5,FALSE)</f>
        <v>2.4</v>
      </c>
      <c r="I10" s="152">
        <v>2</v>
      </c>
      <c r="J10" s="151">
        <v>1.7000000000000001E-2</v>
      </c>
      <c r="K10" s="151"/>
      <c r="L10" s="152"/>
      <c r="M10" s="153"/>
      <c r="N10" s="154">
        <f t="shared" si="2"/>
        <v>0.11666666666666665</v>
      </c>
      <c r="O10" s="153" t="str">
        <f t="shared" si="3"/>
        <v>Yes</v>
      </c>
      <c r="P10" s="155"/>
      <c r="Q10" s="153"/>
      <c r="R10" s="99">
        <f t="shared" si="4"/>
        <v>11215</v>
      </c>
      <c r="S10" s="140" t="s">
        <v>139</v>
      </c>
      <c r="T10" s="101">
        <f t="shared" si="6"/>
        <v>0</v>
      </c>
      <c r="U10" s="101">
        <f t="shared" si="7"/>
        <v>0.78717672000000016</v>
      </c>
      <c r="V10" s="101">
        <f t="shared" si="8"/>
        <v>0.78717672000000016</v>
      </c>
      <c r="W10" s="101">
        <v>1.4</v>
      </c>
      <c r="X10" s="156">
        <f t="shared" si="5"/>
        <v>0.11666666666666665</v>
      </c>
      <c r="Y10" s="153" t="str">
        <f t="shared" si="9"/>
        <v>Yes</v>
      </c>
      <c r="Z10" s="156">
        <v>0.72</v>
      </c>
      <c r="AA10" s="156" t="s">
        <v>178</v>
      </c>
      <c r="AB10" s="157">
        <f t="shared" si="10"/>
        <v>6.717672000000019E-2</v>
      </c>
      <c r="AD10" s="158"/>
    </row>
    <row r="11" spans="1:30" s="110" customFormat="1" ht="30" customHeight="1">
      <c r="A11" s="180" t="s">
        <v>23</v>
      </c>
      <c r="B11" s="98">
        <v>11600</v>
      </c>
      <c r="C11" s="99" t="s">
        <v>100</v>
      </c>
      <c r="D11" s="99" t="s">
        <v>23</v>
      </c>
      <c r="E11" s="101">
        <f>VLOOKUP(D11,'100-yr Runoff'!B$6:L$34,11,FALSE)</f>
        <v>1.2936099599999999</v>
      </c>
      <c r="F11" s="86"/>
      <c r="G11" s="101">
        <f t="shared" si="1"/>
        <v>1.2936099599999999</v>
      </c>
      <c r="H11" s="191">
        <f>VLOOKUP(D11,'10-year Spread'!D$11:H$26,5,FALSE)</f>
        <v>2.4</v>
      </c>
      <c r="I11" s="152">
        <v>2</v>
      </c>
      <c r="J11" s="151">
        <v>1.7000000000000001E-2</v>
      </c>
      <c r="K11" s="151"/>
      <c r="L11" s="152"/>
      <c r="M11" s="153"/>
      <c r="N11" s="154">
        <f t="shared" si="2"/>
        <v>0.14166666666666666</v>
      </c>
      <c r="O11" s="153" t="str">
        <f t="shared" si="3"/>
        <v>Yes</v>
      </c>
      <c r="P11" s="155"/>
      <c r="Q11" s="153"/>
      <c r="R11" s="99">
        <f t="shared" si="4"/>
        <v>11600</v>
      </c>
      <c r="S11" s="140" t="s">
        <v>139</v>
      </c>
      <c r="T11" s="101">
        <f t="shared" si="6"/>
        <v>1.2936099599999999</v>
      </c>
      <c r="U11" s="101">
        <f t="shared" si="7"/>
        <v>0</v>
      </c>
      <c r="V11" s="101">
        <f t="shared" si="8"/>
        <v>1.2936099599999999</v>
      </c>
      <c r="W11" s="101">
        <v>1.7</v>
      </c>
      <c r="X11" s="156">
        <f t="shared" si="5"/>
        <v>0.14166666666666666</v>
      </c>
      <c r="Y11" s="153" t="str">
        <f t="shared" si="9"/>
        <v>Yes</v>
      </c>
      <c r="Z11" s="156">
        <v>1.0900000000000001</v>
      </c>
      <c r="AA11" s="156" t="s">
        <v>179</v>
      </c>
      <c r="AB11" s="157">
        <f t="shared" si="10"/>
        <v>0.20360995999999987</v>
      </c>
      <c r="AD11" s="158"/>
    </row>
    <row r="12" spans="1:30" s="110" customFormat="1" ht="30" customHeight="1">
      <c r="A12" s="180" t="s">
        <v>24</v>
      </c>
      <c r="B12" s="98">
        <v>12350</v>
      </c>
      <c r="C12" s="99" t="s">
        <v>100</v>
      </c>
      <c r="D12" s="99" t="s">
        <v>24</v>
      </c>
      <c r="E12" s="101">
        <f>VLOOKUP(D12,'100-yr Runoff'!B$6:L$34,11,FALSE)</f>
        <v>2.9722751199999999</v>
      </c>
      <c r="F12" s="86"/>
      <c r="G12" s="101">
        <f t="shared" si="1"/>
        <v>2.9722751199999999</v>
      </c>
      <c r="H12" s="191">
        <v>1.7</v>
      </c>
      <c r="I12" s="152">
        <v>2</v>
      </c>
      <c r="J12" s="151">
        <v>1.7000000000000001E-2</v>
      </c>
      <c r="K12" s="151"/>
      <c r="L12" s="152"/>
      <c r="M12" s="153"/>
      <c r="N12" s="154">
        <f t="shared" si="2"/>
        <v>0.19999999999999998</v>
      </c>
      <c r="O12" s="153" t="str">
        <f t="shared" si="3"/>
        <v>Yes</v>
      </c>
      <c r="P12" s="155"/>
      <c r="Q12" s="153"/>
      <c r="R12" s="99">
        <f t="shared" si="4"/>
        <v>12350</v>
      </c>
      <c r="S12" s="140" t="s">
        <v>137</v>
      </c>
      <c r="T12" s="101">
        <f t="shared" si="6"/>
        <v>2.9722751199999999</v>
      </c>
      <c r="U12" s="101">
        <f t="shared" si="7"/>
        <v>0</v>
      </c>
      <c r="V12" s="101">
        <f t="shared" si="8"/>
        <v>2.9722751199999999</v>
      </c>
      <c r="W12" s="101">
        <v>2.4</v>
      </c>
      <c r="X12" s="156">
        <f t="shared" si="5"/>
        <v>0.19999999999999998</v>
      </c>
      <c r="Y12" s="153" t="str">
        <f t="shared" si="9"/>
        <v>Yes</v>
      </c>
      <c r="Z12" s="156">
        <v>2.2599999999999998</v>
      </c>
      <c r="AA12" s="156" t="s">
        <v>24</v>
      </c>
      <c r="AB12" s="157">
        <f t="shared" si="10"/>
        <v>0.71227512000000015</v>
      </c>
      <c r="AC12" s="159"/>
      <c r="AD12" s="159"/>
    </row>
    <row r="13" spans="1:30" s="110" customFormat="1" ht="30" customHeight="1">
      <c r="A13" s="180" t="s">
        <v>24</v>
      </c>
      <c r="B13" s="98">
        <v>12365</v>
      </c>
      <c r="C13" s="99" t="s">
        <v>100</v>
      </c>
      <c r="D13" s="99" t="s">
        <v>24</v>
      </c>
      <c r="E13" s="82"/>
      <c r="F13" s="101">
        <f>AB12</f>
        <v>0.71227512000000015</v>
      </c>
      <c r="G13" s="101">
        <f t="shared" si="1"/>
        <v>0.71227512000000015</v>
      </c>
      <c r="H13" s="191">
        <v>1.7</v>
      </c>
      <c r="I13" s="152">
        <v>2</v>
      </c>
      <c r="J13" s="151">
        <v>1.7000000000000001E-2</v>
      </c>
      <c r="K13" s="151"/>
      <c r="L13" s="152"/>
      <c r="M13" s="153"/>
      <c r="N13" s="154">
        <f t="shared" si="2"/>
        <v>0.11666666666666665</v>
      </c>
      <c r="O13" s="153" t="str">
        <f t="shared" si="3"/>
        <v>Yes</v>
      </c>
      <c r="P13" s="155"/>
      <c r="Q13" s="153"/>
      <c r="R13" s="99">
        <f t="shared" si="4"/>
        <v>12365</v>
      </c>
      <c r="S13" s="140" t="s">
        <v>139</v>
      </c>
      <c r="T13" s="101">
        <f t="shared" si="6"/>
        <v>0</v>
      </c>
      <c r="U13" s="101">
        <f t="shared" si="7"/>
        <v>0.71227512000000015</v>
      </c>
      <c r="V13" s="101">
        <f t="shared" si="8"/>
        <v>0.71227512000000015</v>
      </c>
      <c r="W13" s="101">
        <v>1.4</v>
      </c>
      <c r="X13" s="156">
        <f t="shared" si="5"/>
        <v>0.11666666666666665</v>
      </c>
      <c r="Y13" s="153" t="str">
        <f t="shared" si="9"/>
        <v>Yes</v>
      </c>
      <c r="Z13" s="156">
        <v>0.65</v>
      </c>
      <c r="AA13" s="156" t="s">
        <v>180</v>
      </c>
      <c r="AB13" s="157">
        <f t="shared" si="10"/>
        <v>6.2275120000000128E-2</v>
      </c>
      <c r="AD13" s="158"/>
    </row>
    <row r="14" spans="1:30" s="110" customFormat="1" ht="30" customHeight="1">
      <c r="A14" s="180" t="s">
        <v>25</v>
      </c>
      <c r="B14" s="98">
        <f>B15-15</f>
        <v>12885</v>
      </c>
      <c r="C14" s="99" t="s">
        <v>100</v>
      </c>
      <c r="D14" s="99" t="s">
        <v>25</v>
      </c>
      <c r="E14" s="101">
        <f>VLOOKUP(D14,'100-yr Runoff'!B$6:L$34,11,FALSE)</f>
        <v>2.08952392</v>
      </c>
      <c r="F14" s="86"/>
      <c r="G14" s="101">
        <f t="shared" si="1"/>
        <v>2.08952392</v>
      </c>
      <c r="H14" s="191">
        <f>VLOOKUP(D14,'10-year Spread'!D$11:H$26,5,FALSE)</f>
        <v>1.1000000000000001</v>
      </c>
      <c r="I14" s="152">
        <v>2</v>
      </c>
      <c r="J14" s="151">
        <v>1.7000000000000001E-2</v>
      </c>
      <c r="K14" s="151"/>
      <c r="L14" s="152"/>
      <c r="M14" s="153"/>
      <c r="N14" s="154">
        <f t="shared" si="2"/>
        <v>0.19166666666666665</v>
      </c>
      <c r="O14" s="153" t="str">
        <f t="shared" si="3"/>
        <v>Yes</v>
      </c>
      <c r="P14" s="155"/>
      <c r="Q14" s="153"/>
      <c r="R14" s="99">
        <f t="shared" si="4"/>
        <v>12885</v>
      </c>
      <c r="S14" s="140" t="s">
        <v>137</v>
      </c>
      <c r="T14" s="101">
        <f t="shared" si="6"/>
        <v>2.08952392</v>
      </c>
      <c r="U14" s="101">
        <f t="shared" si="7"/>
        <v>0</v>
      </c>
      <c r="V14" s="101">
        <f t="shared" si="8"/>
        <v>2.08952392</v>
      </c>
      <c r="W14" s="101">
        <v>2.2999999999999998</v>
      </c>
      <c r="X14" s="156">
        <f t="shared" si="5"/>
        <v>0.19166666666666665</v>
      </c>
      <c r="Y14" s="153" t="str">
        <f t="shared" si="9"/>
        <v>Yes</v>
      </c>
      <c r="Z14" s="156">
        <v>1.77</v>
      </c>
      <c r="AA14" s="156" t="s">
        <v>25</v>
      </c>
      <c r="AB14" s="157">
        <f t="shared" si="10"/>
        <v>0.31952391999999996</v>
      </c>
      <c r="AC14" s="159"/>
      <c r="AD14" s="159"/>
    </row>
    <row r="15" spans="1:30" s="110" customFormat="1" ht="30" customHeight="1">
      <c r="A15" s="180" t="s">
        <v>25</v>
      </c>
      <c r="B15" s="98">
        <v>12900</v>
      </c>
      <c r="C15" s="99" t="s">
        <v>100</v>
      </c>
      <c r="D15" s="99" t="s">
        <v>25</v>
      </c>
      <c r="E15" s="82"/>
      <c r="F15" s="101">
        <f>AB14</f>
        <v>0.31952391999999996</v>
      </c>
      <c r="G15" s="101">
        <f t="shared" si="1"/>
        <v>0.31952391999999996</v>
      </c>
      <c r="H15" s="191">
        <f>VLOOKUP(D15,'10-year Spread'!D$11:H$26,5,FALSE)</f>
        <v>1.1000000000000001</v>
      </c>
      <c r="I15" s="152">
        <v>2</v>
      </c>
      <c r="J15" s="151">
        <v>1.7000000000000001E-2</v>
      </c>
      <c r="K15" s="151"/>
      <c r="L15" s="152"/>
      <c r="M15" s="153"/>
      <c r="N15" s="154">
        <f t="shared" si="2"/>
        <v>9.1666666666666674E-2</v>
      </c>
      <c r="O15" s="153" t="str">
        <f t="shared" si="3"/>
        <v>Yes</v>
      </c>
      <c r="P15" s="155"/>
      <c r="Q15" s="153"/>
      <c r="R15" s="99">
        <f t="shared" si="4"/>
        <v>12900</v>
      </c>
      <c r="S15" s="140" t="s">
        <v>139</v>
      </c>
      <c r="T15" s="101">
        <f t="shared" si="6"/>
        <v>0</v>
      </c>
      <c r="U15" s="101">
        <f t="shared" si="7"/>
        <v>0.31952391999999996</v>
      </c>
      <c r="V15" s="101">
        <f t="shared" si="8"/>
        <v>0.31952391999999996</v>
      </c>
      <c r="W15" s="101">
        <v>1.1000000000000001</v>
      </c>
      <c r="X15" s="156">
        <f t="shared" si="5"/>
        <v>9.1666666666666674E-2</v>
      </c>
      <c r="Y15" s="153" t="str">
        <f t="shared" si="9"/>
        <v>Yes</v>
      </c>
      <c r="Z15" s="156">
        <v>0.31</v>
      </c>
      <c r="AA15" s="156" t="s">
        <v>181</v>
      </c>
      <c r="AB15" s="157">
        <f t="shared" si="10"/>
        <v>9.5239199999999635E-3</v>
      </c>
      <c r="AD15" s="158"/>
    </row>
    <row r="16" spans="1:30" s="110" customFormat="1" ht="30" customHeight="1">
      <c r="A16" s="180" t="s">
        <v>26</v>
      </c>
      <c r="B16" s="98">
        <v>13325</v>
      </c>
      <c r="C16" s="99" t="s">
        <v>100</v>
      </c>
      <c r="D16" s="99" t="s">
        <v>26</v>
      </c>
      <c r="E16" s="101">
        <f>VLOOKUP(D16,'100-yr Runoff'!B$6:L$34,11,FALSE)</f>
        <v>2.1782234000000003</v>
      </c>
      <c r="F16" s="86"/>
      <c r="G16" s="101">
        <f t="shared" si="1"/>
        <v>2.1782234000000003</v>
      </c>
      <c r="H16" s="191">
        <f>VLOOKUP(D16,'10-year Spread'!D$11:H$26,5,FALSE)</f>
        <v>1.1000000000000001</v>
      </c>
      <c r="I16" s="152">
        <v>2</v>
      </c>
      <c r="J16" s="151">
        <v>1.7000000000000001E-2</v>
      </c>
      <c r="K16" s="151"/>
      <c r="L16" s="152"/>
      <c r="M16" s="153"/>
      <c r="N16" s="154">
        <f t="shared" si="2"/>
        <v>0.19166666666666665</v>
      </c>
      <c r="O16" s="153" t="str">
        <f t="shared" si="3"/>
        <v>Yes</v>
      </c>
      <c r="P16" s="155"/>
      <c r="Q16" s="153"/>
      <c r="R16" s="99">
        <f t="shared" si="4"/>
        <v>13325</v>
      </c>
      <c r="S16" s="140" t="s">
        <v>137</v>
      </c>
      <c r="T16" s="101">
        <f t="shared" si="6"/>
        <v>2.1782234000000003</v>
      </c>
      <c r="U16" s="101">
        <f t="shared" si="7"/>
        <v>0</v>
      </c>
      <c r="V16" s="101">
        <f t="shared" si="8"/>
        <v>2.1782234000000003</v>
      </c>
      <c r="W16" s="101">
        <v>2.2999999999999998</v>
      </c>
      <c r="X16" s="156">
        <f t="shared" si="5"/>
        <v>0.19166666666666665</v>
      </c>
      <c r="Y16" s="153" t="str">
        <f t="shared" si="9"/>
        <v>Yes</v>
      </c>
      <c r="Z16" s="156">
        <v>1.83</v>
      </c>
      <c r="AA16" s="156" t="s">
        <v>26</v>
      </c>
      <c r="AB16" s="157">
        <f t="shared" si="10"/>
        <v>0.34822340000000018</v>
      </c>
      <c r="AD16" s="158"/>
    </row>
    <row r="17" spans="1:30" s="110" customFormat="1" ht="30" customHeight="1">
      <c r="A17" s="180" t="s">
        <v>26</v>
      </c>
      <c r="B17" s="98">
        <v>13340</v>
      </c>
      <c r="C17" s="99" t="s">
        <v>100</v>
      </c>
      <c r="D17" s="99" t="s">
        <v>26</v>
      </c>
      <c r="E17" s="82"/>
      <c r="F17" s="101">
        <f>AB16</f>
        <v>0.34822340000000018</v>
      </c>
      <c r="G17" s="101">
        <f t="shared" si="1"/>
        <v>0.34822340000000018</v>
      </c>
      <c r="H17" s="191">
        <f>VLOOKUP(D17,'10-year Spread'!D$11:H$26,5,FALSE)</f>
        <v>1.1000000000000001</v>
      </c>
      <c r="I17" s="152">
        <v>2</v>
      </c>
      <c r="J17" s="151">
        <v>1.7000000000000001E-2</v>
      </c>
      <c r="K17" s="151"/>
      <c r="L17" s="152"/>
      <c r="M17" s="153"/>
      <c r="N17" s="154">
        <f t="shared" si="2"/>
        <v>9.9999999999999992E-2</v>
      </c>
      <c r="O17" s="153" t="str">
        <f t="shared" si="3"/>
        <v>Yes</v>
      </c>
      <c r="P17" s="155"/>
      <c r="Q17" s="153"/>
      <c r="R17" s="99">
        <f t="shared" si="4"/>
        <v>13340</v>
      </c>
      <c r="S17" s="140" t="s">
        <v>139</v>
      </c>
      <c r="T17" s="101">
        <f t="shared" si="6"/>
        <v>0</v>
      </c>
      <c r="U17" s="101">
        <f t="shared" si="7"/>
        <v>0.34822340000000018</v>
      </c>
      <c r="V17" s="101">
        <f t="shared" si="8"/>
        <v>0.34822340000000018</v>
      </c>
      <c r="W17" s="101">
        <v>1.2</v>
      </c>
      <c r="X17" s="156">
        <f t="shared" si="5"/>
        <v>9.9999999999999992E-2</v>
      </c>
      <c r="Y17" s="153" t="str">
        <f t="shared" si="9"/>
        <v>Yes</v>
      </c>
      <c r="Z17" s="156">
        <v>0.34</v>
      </c>
      <c r="AA17" s="156" t="s">
        <v>182</v>
      </c>
      <c r="AB17" s="157">
        <f t="shared" si="10"/>
        <v>8.2234000000001584E-3</v>
      </c>
      <c r="AD17" s="158"/>
    </row>
    <row r="18" spans="1:30" s="110" customFormat="1" ht="30" customHeight="1">
      <c r="A18" s="180" t="s">
        <v>27</v>
      </c>
      <c r="B18" s="98">
        <v>13750</v>
      </c>
      <c r="C18" s="99" t="s">
        <v>100</v>
      </c>
      <c r="D18" s="99" t="s">
        <v>27</v>
      </c>
      <c r="E18" s="101">
        <f>VLOOKUP(D18,'100-yr Runoff'!B$6:L$34,11,FALSE)</f>
        <v>1.9101185200000002</v>
      </c>
      <c r="F18" s="101"/>
      <c r="G18" s="101">
        <f t="shared" si="1"/>
        <v>1.9101185200000002</v>
      </c>
      <c r="H18" s="191">
        <f>VLOOKUP(D18,'10-year Spread'!D$11:H$26,5,FALSE)</f>
        <v>2.2000000000000002</v>
      </c>
      <c r="I18" s="152">
        <v>2</v>
      </c>
      <c r="J18" s="151">
        <v>1.7000000000000001E-2</v>
      </c>
      <c r="K18" s="151"/>
      <c r="L18" s="152"/>
      <c r="M18" s="153"/>
      <c r="N18" s="154">
        <f t="shared" si="2"/>
        <v>0.17500000000000002</v>
      </c>
      <c r="O18" s="153" t="str">
        <f t="shared" si="3"/>
        <v>Yes</v>
      </c>
      <c r="P18" s="155"/>
      <c r="Q18" s="153"/>
      <c r="R18" s="99">
        <f t="shared" si="4"/>
        <v>13750</v>
      </c>
      <c r="S18" s="140" t="s">
        <v>137</v>
      </c>
      <c r="T18" s="101">
        <f t="shared" si="6"/>
        <v>1.9101185200000002</v>
      </c>
      <c r="U18" s="101">
        <f t="shared" si="7"/>
        <v>0</v>
      </c>
      <c r="V18" s="101">
        <f t="shared" si="8"/>
        <v>1.9101185200000002</v>
      </c>
      <c r="W18" s="101">
        <v>2.1</v>
      </c>
      <c r="X18" s="156">
        <f t="shared" si="5"/>
        <v>0.17500000000000002</v>
      </c>
      <c r="Y18" s="153" t="str">
        <f t="shared" si="9"/>
        <v>Yes</v>
      </c>
      <c r="Z18" s="156">
        <v>1.59</v>
      </c>
      <c r="AA18" s="156" t="s">
        <v>28</v>
      </c>
      <c r="AB18" s="157">
        <f t="shared" si="10"/>
        <v>0.32011852000000007</v>
      </c>
      <c r="AD18" s="158"/>
    </row>
    <row r="19" spans="1:30" s="110" customFormat="1" ht="30" customHeight="1">
      <c r="A19" s="180" t="s">
        <v>28</v>
      </c>
      <c r="B19" s="98">
        <f>B20-15</f>
        <v>14335</v>
      </c>
      <c r="C19" s="99" t="s">
        <v>100</v>
      </c>
      <c r="D19" s="99" t="s">
        <v>28</v>
      </c>
      <c r="E19" s="101">
        <f>VLOOKUP(D19,'100-yr Runoff'!B$6:L$34,11,FALSE)</f>
        <v>3.0211341999999997</v>
      </c>
      <c r="F19" s="101">
        <f>AB18</f>
        <v>0.32011852000000007</v>
      </c>
      <c r="G19" s="101">
        <f t="shared" si="1"/>
        <v>3.34125272</v>
      </c>
      <c r="H19" s="191">
        <f>VLOOKUP(D19,'10-year Spread'!D$11:H$26,5,FALSE)</f>
        <v>1.6</v>
      </c>
      <c r="I19" s="152">
        <v>2</v>
      </c>
      <c r="J19" s="151">
        <v>1.7000000000000001E-2</v>
      </c>
      <c r="K19" s="151"/>
      <c r="L19" s="152"/>
      <c r="M19" s="153"/>
      <c r="N19" s="154">
        <f t="shared" ref="N19:N22" si="11">X19</f>
        <v>0.20833333333333334</v>
      </c>
      <c r="O19" s="153" t="str">
        <f t="shared" si="3"/>
        <v>Yes</v>
      </c>
      <c r="P19" s="155"/>
      <c r="Q19" s="153"/>
      <c r="R19" s="99">
        <f t="shared" si="4"/>
        <v>14335</v>
      </c>
      <c r="S19" s="140" t="s">
        <v>139</v>
      </c>
      <c r="T19" s="101">
        <f t="shared" ref="T19:T22" si="12">E19</f>
        <v>3.0211341999999997</v>
      </c>
      <c r="U19" s="101">
        <f t="shared" ref="U19:U22" si="13">F19</f>
        <v>0.32011852000000007</v>
      </c>
      <c r="V19" s="101">
        <f t="shared" ref="V19:V22" si="14">U19+T19</f>
        <v>3.34125272</v>
      </c>
      <c r="W19" s="101">
        <v>2.5</v>
      </c>
      <c r="X19" s="156">
        <f t="shared" si="5"/>
        <v>0.20833333333333334</v>
      </c>
      <c r="Y19" s="153" t="str">
        <f t="shared" si="9"/>
        <v>Yes</v>
      </c>
      <c r="Z19" s="156">
        <v>2.4900000000000002</v>
      </c>
      <c r="AA19" s="156" t="s">
        <v>28</v>
      </c>
      <c r="AB19" s="157">
        <f t="shared" ref="AB19:AB22" si="15">V19-Z19</f>
        <v>0.85125271999999974</v>
      </c>
      <c r="AC19" s="160"/>
      <c r="AD19" s="160"/>
    </row>
    <row r="20" spans="1:30" s="110" customFormat="1" ht="30" customHeight="1">
      <c r="A20" s="180" t="s">
        <v>28</v>
      </c>
      <c r="B20" s="98">
        <v>14350</v>
      </c>
      <c r="C20" s="99" t="s">
        <v>100</v>
      </c>
      <c r="D20" s="99" t="s">
        <v>28</v>
      </c>
      <c r="E20" s="82"/>
      <c r="F20" s="101">
        <f>AB19</f>
        <v>0.85125271999999974</v>
      </c>
      <c r="G20" s="101">
        <f t="shared" si="1"/>
        <v>0.85125271999999974</v>
      </c>
      <c r="H20" s="191">
        <f>VLOOKUP(D20,'10-year Spread'!D$11:H$26,5,FALSE)</f>
        <v>1.6</v>
      </c>
      <c r="I20" s="152">
        <v>2</v>
      </c>
      <c r="J20" s="151">
        <v>1.7000000000000001E-2</v>
      </c>
      <c r="K20" s="151"/>
      <c r="L20" s="152"/>
      <c r="M20" s="153"/>
      <c r="N20" s="154">
        <f t="shared" si="11"/>
        <v>0.13333333333333333</v>
      </c>
      <c r="O20" s="153" t="str">
        <f t="shared" si="3"/>
        <v>Yes</v>
      </c>
      <c r="P20" s="155"/>
      <c r="Q20" s="153"/>
      <c r="R20" s="99">
        <f t="shared" si="4"/>
        <v>14350</v>
      </c>
      <c r="S20" s="140" t="s">
        <v>139</v>
      </c>
      <c r="T20" s="101">
        <f t="shared" si="12"/>
        <v>0</v>
      </c>
      <c r="U20" s="101">
        <f t="shared" si="13"/>
        <v>0.85125271999999974</v>
      </c>
      <c r="V20" s="101">
        <f t="shared" si="14"/>
        <v>0.85125271999999974</v>
      </c>
      <c r="W20" s="101">
        <v>1.6</v>
      </c>
      <c r="X20" s="156">
        <f t="shared" si="5"/>
        <v>0.13333333333333333</v>
      </c>
      <c r="Y20" s="153" t="str">
        <f t="shared" si="9"/>
        <v>Yes</v>
      </c>
      <c r="Z20" s="156">
        <v>0.77</v>
      </c>
      <c r="AA20" s="156" t="s">
        <v>183</v>
      </c>
      <c r="AB20" s="157">
        <f t="shared" si="15"/>
        <v>8.1252719999999723E-2</v>
      </c>
      <c r="AD20" s="158"/>
    </row>
    <row r="21" spans="1:30" s="110" customFormat="1" ht="30" customHeight="1">
      <c r="A21" s="180" t="s">
        <v>29</v>
      </c>
      <c r="B21" s="98">
        <f>B22-15</f>
        <v>15005</v>
      </c>
      <c r="C21" s="99" t="s">
        <v>100</v>
      </c>
      <c r="D21" s="99" t="s">
        <v>29</v>
      </c>
      <c r="E21" s="101">
        <f>VLOOKUP(D21,'100-yr Runoff'!B$6:L$34,11,FALSE)</f>
        <v>2.9147269600000003</v>
      </c>
      <c r="F21" s="101"/>
      <c r="G21" s="101">
        <f t="shared" si="1"/>
        <v>2.9147269600000003</v>
      </c>
      <c r="H21" s="191">
        <f>VLOOKUP(D21,'10-year Spread'!D$11:H$26,5,FALSE)</f>
        <v>1.3</v>
      </c>
      <c r="I21" s="152">
        <v>2</v>
      </c>
      <c r="J21" s="151">
        <v>1.7000000000000001E-2</v>
      </c>
      <c r="K21" s="151"/>
      <c r="L21" s="152"/>
      <c r="M21" s="153"/>
      <c r="N21" s="154">
        <f t="shared" si="11"/>
        <v>0.19999999999999998</v>
      </c>
      <c r="O21" s="153" t="str">
        <f t="shared" si="3"/>
        <v>Yes</v>
      </c>
      <c r="P21" s="155"/>
      <c r="Q21" s="153"/>
      <c r="R21" s="99">
        <f t="shared" si="4"/>
        <v>15005</v>
      </c>
      <c r="S21" s="140" t="s">
        <v>137</v>
      </c>
      <c r="T21" s="101">
        <f t="shared" si="12"/>
        <v>2.9147269600000003</v>
      </c>
      <c r="U21" s="101">
        <f t="shared" si="13"/>
        <v>0</v>
      </c>
      <c r="V21" s="101">
        <f t="shared" si="14"/>
        <v>2.9147269600000003</v>
      </c>
      <c r="W21" s="101">
        <v>2.4</v>
      </c>
      <c r="X21" s="156">
        <f t="shared" si="5"/>
        <v>0.19999999999999998</v>
      </c>
      <c r="Y21" s="153" t="str">
        <f t="shared" si="9"/>
        <v>Yes</v>
      </c>
      <c r="Z21" s="156">
        <v>2.2599999999999998</v>
      </c>
      <c r="AA21" s="156" t="s">
        <v>29</v>
      </c>
      <c r="AB21" s="157">
        <f t="shared" si="15"/>
        <v>0.65472696000000052</v>
      </c>
      <c r="AC21" s="160"/>
      <c r="AD21" s="160"/>
    </row>
    <row r="22" spans="1:30" s="110" customFormat="1" ht="30" customHeight="1" thickBot="1">
      <c r="A22" s="181" t="s">
        <v>29</v>
      </c>
      <c r="B22" s="182">
        <v>15020</v>
      </c>
      <c r="C22" s="130" t="s">
        <v>100</v>
      </c>
      <c r="D22" s="130" t="s">
        <v>29</v>
      </c>
      <c r="E22" s="161"/>
      <c r="F22" s="149">
        <f>AB21</f>
        <v>0.65472696000000052</v>
      </c>
      <c r="G22" s="149">
        <f t="shared" si="1"/>
        <v>0.65472696000000052</v>
      </c>
      <c r="H22" s="192">
        <f>VLOOKUP(D22,'10-year Spread'!D$11:H$26,5,FALSE)</f>
        <v>1.3</v>
      </c>
      <c r="I22" s="163">
        <v>2</v>
      </c>
      <c r="J22" s="162">
        <v>1.7000000000000001E-2</v>
      </c>
      <c r="K22" s="162"/>
      <c r="L22" s="163"/>
      <c r="M22" s="164"/>
      <c r="N22" s="165">
        <f t="shared" si="11"/>
        <v>0.125</v>
      </c>
      <c r="O22" s="164" t="str">
        <f t="shared" si="3"/>
        <v>Yes</v>
      </c>
      <c r="P22" s="166"/>
      <c r="Q22" s="164"/>
      <c r="R22" s="130">
        <f t="shared" si="4"/>
        <v>15020</v>
      </c>
      <c r="S22" s="144" t="s">
        <v>139</v>
      </c>
      <c r="T22" s="149">
        <f t="shared" si="12"/>
        <v>0</v>
      </c>
      <c r="U22" s="149">
        <f t="shared" si="13"/>
        <v>0.65472696000000052</v>
      </c>
      <c r="V22" s="149">
        <f t="shared" si="14"/>
        <v>0.65472696000000052</v>
      </c>
      <c r="W22" s="149">
        <v>1.5</v>
      </c>
      <c r="X22" s="167">
        <f t="shared" si="5"/>
        <v>0.125</v>
      </c>
      <c r="Y22" s="164" t="str">
        <f t="shared" si="9"/>
        <v>Yes</v>
      </c>
      <c r="Z22" s="167">
        <v>0.61</v>
      </c>
      <c r="AA22" s="167" t="s">
        <v>183</v>
      </c>
      <c r="AB22" s="168">
        <f t="shared" si="15"/>
        <v>4.4726960000000537E-2</v>
      </c>
      <c r="AD22" s="158"/>
    </row>
    <row r="23" spans="1:30" ht="30" customHeight="1" thickBot="1">
      <c r="A23" s="110"/>
      <c r="B23" s="250" t="s">
        <v>175</v>
      </c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52"/>
    </row>
    <row r="24" spans="1:30" ht="30" customHeight="1">
      <c r="A24" s="179" t="s">
        <v>176</v>
      </c>
      <c r="B24" s="121">
        <v>10475</v>
      </c>
      <c r="C24" s="122" t="s">
        <v>99</v>
      </c>
      <c r="D24" s="122" t="s">
        <v>176</v>
      </c>
      <c r="E24" s="123">
        <f>VLOOKUP(D24,'100-yr Runoff'!B$6:L$34,11,FALSE)</f>
        <v>0.43200671999999996</v>
      </c>
      <c r="F24" s="123">
        <f>AB23</f>
        <v>0</v>
      </c>
      <c r="G24" s="148">
        <f t="shared" ref="G24" si="16">E24+F24</f>
        <v>0.43200671999999996</v>
      </c>
      <c r="H24" s="150">
        <v>2.85</v>
      </c>
      <c r="I24" s="125">
        <v>2</v>
      </c>
      <c r="J24" s="126">
        <v>1.7000000000000001E-2</v>
      </c>
      <c r="K24" s="126"/>
      <c r="L24" s="125"/>
      <c r="M24" s="127"/>
      <c r="N24" s="128">
        <f t="shared" ref="N24" si="17">X24</f>
        <v>0.125</v>
      </c>
      <c r="O24" s="127" t="str">
        <f t="shared" ref="O24" si="18">IF(N24&lt;=0.66,"Yes","No")</f>
        <v>Yes</v>
      </c>
      <c r="P24" s="129"/>
      <c r="Q24" s="127"/>
      <c r="R24" s="122">
        <f>B24</f>
        <v>10475</v>
      </c>
      <c r="S24" s="137" t="s">
        <v>174</v>
      </c>
      <c r="T24" s="123">
        <f t="shared" ref="T24" si="19">E24</f>
        <v>0.43200671999999996</v>
      </c>
      <c r="U24" s="123">
        <f t="shared" ref="U24" si="20">F24</f>
        <v>0</v>
      </c>
      <c r="V24" s="123">
        <f t="shared" ref="V24" si="21">U24+T24</f>
        <v>0.43200671999999996</v>
      </c>
      <c r="W24" s="148">
        <v>1.5</v>
      </c>
      <c r="X24" s="138">
        <f t="shared" ref="X24" si="22">W24/12</f>
        <v>0.125</v>
      </c>
      <c r="Y24" s="127" t="str">
        <f t="shared" ref="Y24" si="23">IF(X24&lt;=0.66,"Yes","No")</f>
        <v>Yes</v>
      </c>
      <c r="Z24" s="138">
        <v>0</v>
      </c>
      <c r="AA24" s="138" t="s">
        <v>158</v>
      </c>
      <c r="AB24" s="139">
        <f t="shared" ref="AB24" si="24">V24-Z24</f>
        <v>0.43200671999999996</v>
      </c>
    </row>
    <row r="25" spans="1:30" ht="30" customHeight="1">
      <c r="A25" s="180" t="s">
        <v>177</v>
      </c>
      <c r="B25" s="98">
        <v>11200</v>
      </c>
      <c r="C25" s="99" t="s">
        <v>99</v>
      </c>
      <c r="D25" s="99" t="s">
        <v>177</v>
      </c>
      <c r="E25" s="100">
        <f>VLOOKUP(D25,'100-yr Runoff'!B$6:L$34,11,FALSE)</f>
        <v>1.36750628</v>
      </c>
      <c r="F25" s="100">
        <f>AB24</f>
        <v>0.43200671999999996</v>
      </c>
      <c r="G25" s="101">
        <f t="shared" ref="G25" si="25">E25+F25</f>
        <v>1.7995129999999999</v>
      </c>
      <c r="H25" s="191">
        <v>2.2000000000000002</v>
      </c>
      <c r="I25" s="103">
        <v>2</v>
      </c>
      <c r="J25" s="104">
        <v>1.7000000000000001E-2</v>
      </c>
      <c r="K25" s="104"/>
      <c r="L25" s="103"/>
      <c r="M25" s="106"/>
      <c r="N25" s="111">
        <f t="shared" ref="N25" si="26">X25</f>
        <v>0.15</v>
      </c>
      <c r="O25" s="106" t="str">
        <f t="shared" ref="O25" si="27">IF(N25&lt;=0.66,"Yes","No")</f>
        <v>Yes</v>
      </c>
      <c r="P25" s="107"/>
      <c r="Q25" s="106"/>
      <c r="R25" s="99">
        <f t="shared" ref="R25:R32" si="28">B25</f>
        <v>11200</v>
      </c>
      <c r="S25" s="140" t="s">
        <v>137</v>
      </c>
      <c r="T25" s="100">
        <f t="shared" ref="T25" si="29">E25</f>
        <v>1.36750628</v>
      </c>
      <c r="U25" s="100">
        <f>F25</f>
        <v>0.43200671999999996</v>
      </c>
      <c r="V25" s="100">
        <f t="shared" ref="V25" si="30">U25+T25</f>
        <v>1.7995129999999999</v>
      </c>
      <c r="W25" s="101">
        <v>1.8</v>
      </c>
      <c r="X25" s="141">
        <f t="shared" ref="X25" si="31">W25/12</f>
        <v>0.15</v>
      </c>
      <c r="Y25" s="106" t="str">
        <f t="shared" ref="Y25" si="32">IF(X25&lt;=0.66,"Yes","No")</f>
        <v>Yes</v>
      </c>
      <c r="Z25" s="141">
        <v>1.51</v>
      </c>
      <c r="AA25" s="141" t="s">
        <v>159</v>
      </c>
      <c r="AB25" s="142">
        <f t="shared" ref="AB25" si="33">V25-Z25</f>
        <v>0.28951299999999991</v>
      </c>
    </row>
    <row r="26" spans="1:30" ht="30" customHeight="1">
      <c r="A26" s="180" t="s">
        <v>178</v>
      </c>
      <c r="B26" s="98">
        <v>11600</v>
      </c>
      <c r="C26" s="99" t="s">
        <v>99</v>
      </c>
      <c r="D26" s="99" t="s">
        <v>178</v>
      </c>
      <c r="E26" s="100">
        <f>VLOOKUP(D26,'100-yr Runoff'!B$6:L$34,11,FALSE)</f>
        <v>0.99665683999999999</v>
      </c>
      <c r="F26" s="100">
        <f>AB25</f>
        <v>0.28951299999999991</v>
      </c>
      <c r="G26" s="101">
        <f t="shared" ref="G26" si="34">E26+F26</f>
        <v>1.2861698399999999</v>
      </c>
      <c r="H26" s="191">
        <v>2.4</v>
      </c>
      <c r="I26" s="103">
        <v>2</v>
      </c>
      <c r="J26" s="104">
        <v>1.7000000000000001E-2</v>
      </c>
      <c r="K26" s="104"/>
      <c r="L26" s="103"/>
      <c r="M26" s="106"/>
      <c r="N26" s="111">
        <f t="shared" ref="N26" si="35">X26</f>
        <v>0.14166666666666666</v>
      </c>
      <c r="O26" s="106" t="str">
        <f t="shared" ref="O26" si="36">IF(N26&lt;=0.66,"Yes","No")</f>
        <v>Yes</v>
      </c>
      <c r="P26" s="107"/>
      <c r="Q26" s="106"/>
      <c r="R26" s="99">
        <f t="shared" si="28"/>
        <v>11600</v>
      </c>
      <c r="S26" s="140" t="s">
        <v>139</v>
      </c>
      <c r="T26" s="100">
        <f>E26</f>
        <v>0.99665683999999999</v>
      </c>
      <c r="U26" s="100">
        <f>F26</f>
        <v>0.28951299999999991</v>
      </c>
      <c r="V26" s="100">
        <f t="shared" ref="V26" si="37">U26+T26</f>
        <v>1.2861698399999999</v>
      </c>
      <c r="W26" s="101">
        <v>1.7</v>
      </c>
      <c r="X26" s="141">
        <f t="shared" ref="X26" si="38">W26/12</f>
        <v>0.14166666666666666</v>
      </c>
      <c r="Y26" s="106" t="str">
        <f t="shared" ref="Y26" si="39">IF(X26&lt;=0.66,"Yes","No")</f>
        <v>Yes</v>
      </c>
      <c r="Z26" s="141">
        <v>1.0900000000000001</v>
      </c>
      <c r="AA26" s="141" t="s">
        <v>160</v>
      </c>
      <c r="AB26" s="142">
        <f t="shared" ref="AB26" si="40">V26-Z26</f>
        <v>0.19616983999999982</v>
      </c>
    </row>
    <row r="27" spans="1:30" ht="30" customHeight="1">
      <c r="A27" s="180" t="s">
        <v>179</v>
      </c>
      <c r="B27" s="98">
        <v>12350</v>
      </c>
      <c r="C27" s="99" t="s">
        <v>99</v>
      </c>
      <c r="D27" s="99" t="s">
        <v>179</v>
      </c>
      <c r="E27" s="100">
        <f>VLOOKUP(D27,'100-yr Runoff'!B$6:L$34,11,FALSE)</f>
        <v>1.8256132</v>
      </c>
      <c r="F27" s="100">
        <f t="shared" ref="F27:F32" si="41">AB26</f>
        <v>0.19616983999999982</v>
      </c>
      <c r="G27" s="101">
        <f t="shared" ref="G27" si="42">E27+F27</f>
        <v>2.0217830399999999</v>
      </c>
      <c r="H27" s="191">
        <v>1.7</v>
      </c>
      <c r="I27" s="103">
        <v>2</v>
      </c>
      <c r="J27" s="104">
        <v>1.7000000000000001E-2</v>
      </c>
      <c r="K27" s="104"/>
      <c r="L27" s="103"/>
      <c r="M27" s="106"/>
      <c r="N27" s="111">
        <f t="shared" ref="N27" si="43">X27</f>
        <v>0.17500000000000002</v>
      </c>
      <c r="O27" s="106" t="str">
        <f t="shared" ref="O27" si="44">IF(N27&lt;=0.66,"Yes","No")</f>
        <v>Yes</v>
      </c>
      <c r="P27" s="107"/>
      <c r="Q27" s="106"/>
      <c r="R27" s="99">
        <f t="shared" si="28"/>
        <v>12350</v>
      </c>
      <c r="S27" s="140" t="s">
        <v>139</v>
      </c>
      <c r="T27" s="100">
        <f t="shared" ref="T27" si="45">E27</f>
        <v>1.8256132</v>
      </c>
      <c r="U27" s="100">
        <f t="shared" ref="U27" si="46">F27</f>
        <v>0.19616983999999982</v>
      </c>
      <c r="V27" s="100">
        <f t="shared" ref="V27" si="47">U27+T27</f>
        <v>2.0217830399999999</v>
      </c>
      <c r="W27" s="101">
        <v>2.1</v>
      </c>
      <c r="X27" s="141">
        <f t="shared" ref="X27" si="48">W27/12</f>
        <v>0.17500000000000002</v>
      </c>
      <c r="Y27" s="106" t="str">
        <f t="shared" ref="Y27" si="49">IF(X27&lt;=0.66,"Yes","No")</f>
        <v>Yes</v>
      </c>
      <c r="Z27" s="141">
        <v>1.63</v>
      </c>
      <c r="AA27" s="141" t="s">
        <v>161</v>
      </c>
      <c r="AB27" s="142">
        <f t="shared" ref="AB27" si="50">V27-Z27</f>
        <v>0.39178303999999997</v>
      </c>
    </row>
    <row r="28" spans="1:30" ht="30" customHeight="1">
      <c r="A28" s="180" t="s">
        <v>180</v>
      </c>
      <c r="B28" s="98">
        <v>12950</v>
      </c>
      <c r="C28" s="99" t="s">
        <v>99</v>
      </c>
      <c r="D28" s="99" t="s">
        <v>180</v>
      </c>
      <c r="E28" s="100">
        <f>VLOOKUP(D28,'100-yr Runoff'!B$6:L$34,11,FALSE)</f>
        <v>1.1157083600000002</v>
      </c>
      <c r="F28" s="100">
        <f t="shared" si="41"/>
        <v>0.39178303999999997</v>
      </c>
      <c r="G28" s="101">
        <f t="shared" ref="G28" si="51">E28+F28</f>
        <v>1.5074914000000001</v>
      </c>
      <c r="H28" s="191">
        <v>1.1000000000000001</v>
      </c>
      <c r="I28" s="103">
        <v>2</v>
      </c>
      <c r="J28" s="104">
        <v>1.7000000000000001E-2</v>
      </c>
      <c r="K28" s="104"/>
      <c r="L28" s="103"/>
      <c r="M28" s="106"/>
      <c r="N28" s="111">
        <f t="shared" ref="N28" si="52">X28</f>
        <v>0.16666666666666666</v>
      </c>
      <c r="O28" s="106" t="str">
        <f t="shared" ref="O28" si="53">IF(N28&lt;=0.66,"Yes","No")</f>
        <v>Yes</v>
      </c>
      <c r="P28" s="107"/>
      <c r="Q28" s="106"/>
      <c r="R28" s="99">
        <f t="shared" si="28"/>
        <v>12950</v>
      </c>
      <c r="S28" s="140" t="s">
        <v>139</v>
      </c>
      <c r="T28" s="100">
        <f t="shared" ref="T28" si="54">E28</f>
        <v>1.1157083600000002</v>
      </c>
      <c r="U28" s="100">
        <f t="shared" ref="U28" si="55">F28</f>
        <v>0.39178303999999997</v>
      </c>
      <c r="V28" s="100">
        <f t="shared" ref="V28" si="56">U28+T28</f>
        <v>1.5074914000000001</v>
      </c>
      <c r="W28" s="101">
        <v>2</v>
      </c>
      <c r="X28" s="141">
        <f t="shared" ref="X28" si="57">W28/12</f>
        <v>0.16666666666666666</v>
      </c>
      <c r="Y28" s="106" t="str">
        <f t="shared" ref="Y28" si="58">IF(X28&lt;=0.66,"Yes","No")</f>
        <v>Yes</v>
      </c>
      <c r="Z28" s="141">
        <v>1.3</v>
      </c>
      <c r="AA28" s="141" t="s">
        <v>162</v>
      </c>
      <c r="AB28" s="142">
        <f t="shared" ref="AB28" si="59">V28-Z28</f>
        <v>0.2074914000000001</v>
      </c>
    </row>
    <row r="29" spans="1:30" ht="30" customHeight="1">
      <c r="A29" s="180" t="s">
        <v>181</v>
      </c>
      <c r="B29" s="98">
        <v>13335</v>
      </c>
      <c r="C29" s="99" t="s">
        <v>99</v>
      </c>
      <c r="D29" s="99" t="s">
        <v>181</v>
      </c>
      <c r="E29" s="100">
        <f>VLOOKUP(D29,'100-yr Runoff'!B$6:L$34,11,FALSE)</f>
        <v>0.40878228000000005</v>
      </c>
      <c r="F29" s="100">
        <f t="shared" si="41"/>
        <v>0.2074914000000001</v>
      </c>
      <c r="G29" s="101">
        <f t="shared" ref="G29" si="60">E29+F29</f>
        <v>0.61627368000000016</v>
      </c>
      <c r="H29" s="191">
        <v>1.1000000000000001</v>
      </c>
      <c r="I29" s="103">
        <v>2</v>
      </c>
      <c r="J29" s="104">
        <v>1.7000000000000001E-2</v>
      </c>
      <c r="K29" s="104"/>
      <c r="L29" s="103"/>
      <c r="M29" s="106"/>
      <c r="N29" s="111">
        <f t="shared" ref="N29" si="61">X29</f>
        <v>0.125</v>
      </c>
      <c r="O29" s="106" t="str">
        <f t="shared" ref="O29" si="62">IF(N29&lt;=0.66,"Yes","No")</f>
        <v>Yes</v>
      </c>
      <c r="P29" s="107"/>
      <c r="Q29" s="106"/>
      <c r="R29" s="99">
        <f t="shared" si="28"/>
        <v>13335</v>
      </c>
      <c r="S29" s="140" t="s">
        <v>139</v>
      </c>
      <c r="T29" s="100">
        <f t="shared" ref="T29" si="63">E29</f>
        <v>0.40878228000000005</v>
      </c>
      <c r="U29" s="100">
        <f t="shared" ref="U29" si="64">F29</f>
        <v>0.2074914000000001</v>
      </c>
      <c r="V29" s="100">
        <f t="shared" ref="V29" si="65">U29+T29</f>
        <v>0.61627368000000016</v>
      </c>
      <c r="W29" s="101">
        <v>1.5</v>
      </c>
      <c r="X29" s="141">
        <f t="shared" ref="X29" si="66">W29/12</f>
        <v>0.125</v>
      </c>
      <c r="Y29" s="106" t="str">
        <f t="shared" ref="Y29" si="67">IF(X29&lt;=0.66,"Yes","No")</f>
        <v>Yes</v>
      </c>
      <c r="Z29" s="141">
        <v>0.57999999999999996</v>
      </c>
      <c r="AA29" s="141" t="s">
        <v>163</v>
      </c>
      <c r="AB29" s="142">
        <f t="shared" ref="AB29" si="68">V29-Z29</f>
        <v>3.6273680000000197E-2</v>
      </c>
    </row>
    <row r="30" spans="1:30" ht="30" customHeight="1">
      <c r="A30" s="180" t="s">
        <v>182</v>
      </c>
      <c r="B30" s="98">
        <v>14300</v>
      </c>
      <c r="C30" s="99" t="s">
        <v>99</v>
      </c>
      <c r="D30" s="99" t="s">
        <v>182</v>
      </c>
      <c r="E30" s="100">
        <f>VLOOKUP(D30,'100-yr Runoff'!B$6:L$34,11,FALSE)</f>
        <v>1.2228901600000002</v>
      </c>
      <c r="F30" s="100">
        <f t="shared" si="41"/>
        <v>3.6273680000000197E-2</v>
      </c>
      <c r="G30" s="101">
        <f t="shared" ref="G30" si="69">E30+F30</f>
        <v>1.2591638400000003</v>
      </c>
      <c r="H30" s="191">
        <v>1.6</v>
      </c>
      <c r="I30" s="103">
        <v>2</v>
      </c>
      <c r="J30" s="104">
        <v>1.7000000000000001E-2</v>
      </c>
      <c r="K30" s="104"/>
      <c r="L30" s="103"/>
      <c r="M30" s="106"/>
      <c r="N30" s="111">
        <f t="shared" ref="N30" si="70">X30</f>
        <v>0.15</v>
      </c>
      <c r="O30" s="106" t="str">
        <f t="shared" ref="O30" si="71">IF(N30&lt;=0.66,"Yes","No")</f>
        <v>Yes</v>
      </c>
      <c r="P30" s="107"/>
      <c r="Q30" s="106"/>
      <c r="R30" s="99">
        <f t="shared" si="28"/>
        <v>14300</v>
      </c>
      <c r="S30" s="140" t="s">
        <v>139</v>
      </c>
      <c r="T30" s="100">
        <f t="shared" ref="T30" si="72">E30</f>
        <v>1.2228901600000002</v>
      </c>
      <c r="U30" s="100">
        <f t="shared" ref="U30" si="73">F30</f>
        <v>3.6273680000000197E-2</v>
      </c>
      <c r="V30" s="100">
        <f t="shared" ref="V30" si="74">U30+T30</f>
        <v>1.2591638400000003</v>
      </c>
      <c r="W30" s="101">
        <v>1.8</v>
      </c>
      <c r="X30" s="141">
        <f t="shared" ref="X30" si="75">W30/12</f>
        <v>0.15</v>
      </c>
      <c r="Y30" s="106" t="str">
        <f t="shared" ref="Y30" si="76">IF(X30&lt;=0.66,"Yes","No")</f>
        <v>Yes</v>
      </c>
      <c r="Z30" s="141">
        <v>1.0900000000000001</v>
      </c>
      <c r="AA30" s="141" t="s">
        <v>164</v>
      </c>
      <c r="AB30" s="142">
        <f t="shared" ref="AB30" si="77">V30-Z30</f>
        <v>0.16916384000000018</v>
      </c>
    </row>
    <row r="31" spans="1:30" ht="30" customHeight="1">
      <c r="A31" s="180" t="s">
        <v>183</v>
      </c>
      <c r="B31" s="98">
        <f>B32-15</f>
        <v>15005</v>
      </c>
      <c r="C31" s="99" t="s">
        <v>99</v>
      </c>
      <c r="D31" s="99" t="s">
        <v>183</v>
      </c>
      <c r="E31" s="100">
        <f>VLOOKUP(D31,'100-yr Runoff'!B$6:L$34,11,FALSE)</f>
        <v>1.1604062400000001</v>
      </c>
      <c r="F31" s="100">
        <f t="shared" si="41"/>
        <v>0.16916384000000018</v>
      </c>
      <c r="G31" s="101">
        <v>1.3</v>
      </c>
      <c r="H31" s="191">
        <v>1.3</v>
      </c>
      <c r="I31" s="103">
        <v>2</v>
      </c>
      <c r="J31" s="104">
        <v>1.7000000000000001E-2</v>
      </c>
      <c r="K31" s="104"/>
      <c r="L31" s="103"/>
      <c r="M31" s="106"/>
      <c r="N31" s="111">
        <f t="shared" ref="N31" si="78">X31</f>
        <v>0.15</v>
      </c>
      <c r="O31" s="106" t="str">
        <f t="shared" ref="O31" si="79">IF(N31&lt;=0.66,"Yes","No")</f>
        <v>Yes</v>
      </c>
      <c r="P31" s="107"/>
      <c r="Q31" s="106"/>
      <c r="R31" s="99">
        <f t="shared" si="28"/>
        <v>15005</v>
      </c>
      <c r="S31" s="140" t="s">
        <v>139</v>
      </c>
      <c r="T31" s="100">
        <f t="shared" ref="T31" si="80">E31</f>
        <v>1.1604062400000001</v>
      </c>
      <c r="U31" s="100">
        <f t="shared" ref="U31" si="81">F31</f>
        <v>0.16916384000000018</v>
      </c>
      <c r="V31" s="100">
        <f t="shared" ref="V31" si="82">U31+T31</f>
        <v>1.3295700800000003</v>
      </c>
      <c r="W31" s="101">
        <v>1.8</v>
      </c>
      <c r="X31" s="141">
        <f t="shared" ref="X31" si="83">W31/12</f>
        <v>0.15</v>
      </c>
      <c r="Y31" s="106" t="str">
        <f t="shared" ref="Y31" si="84">IF(X31&lt;=0.66,"Yes","No")</f>
        <v>Yes</v>
      </c>
      <c r="Z31" s="141">
        <v>1.1299999999999999</v>
      </c>
      <c r="AA31" s="141" t="s">
        <v>164</v>
      </c>
      <c r="AB31" s="142">
        <f t="shared" ref="AB31" si="85">V31-Z31</f>
        <v>0.19957008000000043</v>
      </c>
    </row>
    <row r="32" spans="1:30" ht="30" customHeight="1" thickBot="1">
      <c r="A32" s="181" t="s">
        <v>183</v>
      </c>
      <c r="B32" s="182">
        <v>15020</v>
      </c>
      <c r="C32" s="130" t="s">
        <v>99</v>
      </c>
      <c r="D32" s="130" t="s">
        <v>183</v>
      </c>
      <c r="E32" s="131"/>
      <c r="F32" s="131">
        <f t="shared" si="41"/>
        <v>0.19957008000000043</v>
      </c>
      <c r="G32" s="149">
        <f t="shared" ref="G32" si="86">E32+F32</f>
        <v>0.19957008000000043</v>
      </c>
      <c r="H32" s="192">
        <v>1.3</v>
      </c>
      <c r="I32" s="132">
        <v>2</v>
      </c>
      <c r="J32" s="133">
        <v>1.7000000000000001E-2</v>
      </c>
      <c r="K32" s="133"/>
      <c r="L32" s="132"/>
      <c r="M32" s="134"/>
      <c r="N32" s="135">
        <f t="shared" ref="N32" si="87">X32</f>
        <v>7.4999999999999997E-2</v>
      </c>
      <c r="O32" s="134" t="str">
        <f t="shared" ref="O32" si="88">IF(N32&lt;=0.66,"Yes","No")</f>
        <v>Yes</v>
      </c>
      <c r="P32" s="136"/>
      <c r="Q32" s="134"/>
      <c r="R32" s="130">
        <f t="shared" si="28"/>
        <v>15020</v>
      </c>
      <c r="S32" s="144" t="s">
        <v>139</v>
      </c>
      <c r="T32" s="131">
        <f t="shared" ref="T32" si="89">E32</f>
        <v>0</v>
      </c>
      <c r="U32" s="131">
        <f t="shared" ref="U32" si="90">F32</f>
        <v>0.19957008000000043</v>
      </c>
      <c r="V32" s="131">
        <f t="shared" ref="V32" si="91">U32+T32</f>
        <v>0.19957008000000043</v>
      </c>
      <c r="W32" s="149">
        <v>0.9</v>
      </c>
      <c r="X32" s="145">
        <f t="shared" ref="X32" si="92">W32/12</f>
        <v>7.4999999999999997E-2</v>
      </c>
      <c r="Y32" s="134" t="str">
        <f t="shared" ref="Y32" si="93">IF(X32&lt;=0.66,"Yes","No")</f>
        <v>Yes</v>
      </c>
      <c r="Z32" s="145">
        <v>0.2</v>
      </c>
      <c r="AA32" s="145" t="s">
        <v>164</v>
      </c>
      <c r="AB32" s="146">
        <f t="shared" ref="AB32" si="94">V32-Z32</f>
        <v>-4.2991999999958397E-4</v>
      </c>
    </row>
    <row r="33" spans="1:28" ht="30" customHeight="1">
      <c r="A33" s="110"/>
      <c r="B33" s="78"/>
      <c r="C33" s="78"/>
      <c r="D33" s="78"/>
      <c r="E33" s="78"/>
      <c r="F33" s="78"/>
      <c r="G33" s="78"/>
      <c r="H33" s="78"/>
      <c r="R33" s="78"/>
      <c r="S33" s="78"/>
      <c r="T33" s="78"/>
      <c r="U33" s="78"/>
      <c r="V33" s="78"/>
      <c r="W33" s="78"/>
      <c r="X33" s="78"/>
      <c r="Z33" s="78"/>
      <c r="AA33" s="78"/>
      <c r="AB33" s="78"/>
    </row>
    <row r="34" spans="1:28" ht="30" customHeight="1">
      <c r="A34" s="110"/>
      <c r="B34" s="78"/>
      <c r="C34" s="78"/>
      <c r="D34" s="78"/>
      <c r="E34" s="78"/>
      <c r="F34" s="78"/>
      <c r="G34" s="78"/>
      <c r="H34" s="78"/>
      <c r="R34" s="78"/>
      <c r="S34" s="78"/>
      <c r="T34" s="78"/>
      <c r="U34" s="78"/>
      <c r="V34" s="78"/>
      <c r="W34" s="78"/>
      <c r="X34" s="78"/>
      <c r="Z34" s="78"/>
      <c r="AA34" s="78"/>
      <c r="AB34" s="78"/>
    </row>
    <row r="35" spans="1:28" ht="30" customHeight="1">
      <c r="A35" s="110"/>
      <c r="B35" s="78"/>
      <c r="C35" s="78"/>
      <c r="D35" s="78"/>
      <c r="E35" s="78"/>
      <c r="F35" s="78"/>
      <c r="G35" s="78"/>
      <c r="H35" s="78"/>
      <c r="R35" s="78"/>
      <c r="S35" s="78"/>
      <c r="T35" s="78"/>
      <c r="U35" s="78"/>
      <c r="V35" s="78"/>
      <c r="W35" s="78"/>
      <c r="X35" s="78"/>
      <c r="Z35" s="78"/>
      <c r="AA35" s="78"/>
      <c r="AB35" s="78"/>
    </row>
    <row r="36" spans="1:28" ht="30" customHeight="1">
      <c r="A36" s="110"/>
      <c r="B36" s="78"/>
      <c r="C36" s="78"/>
      <c r="D36" s="78"/>
      <c r="E36" s="78"/>
      <c r="F36" s="78"/>
      <c r="G36" s="78"/>
      <c r="H36" s="78"/>
      <c r="R36" s="78"/>
      <c r="S36" s="78"/>
      <c r="T36" s="78"/>
      <c r="U36" s="78"/>
      <c r="V36" s="78"/>
      <c r="W36" s="78"/>
      <c r="X36" s="78"/>
      <c r="Z36" s="78"/>
      <c r="AA36" s="78"/>
      <c r="AB36" s="78"/>
    </row>
    <row r="37" spans="1:28" ht="30" customHeight="1">
      <c r="A37" s="110"/>
      <c r="B37" s="78"/>
      <c r="C37" s="78"/>
      <c r="D37" s="78"/>
      <c r="E37" s="78"/>
      <c r="F37" s="78"/>
      <c r="G37" s="78"/>
      <c r="H37" s="78"/>
      <c r="R37" s="78"/>
      <c r="S37" s="78"/>
      <c r="T37" s="78"/>
      <c r="U37" s="78"/>
      <c r="V37" s="78"/>
      <c r="W37" s="78"/>
      <c r="X37" s="78"/>
      <c r="Z37" s="78"/>
      <c r="AA37" s="78"/>
      <c r="AB37" s="78"/>
    </row>
    <row r="38" spans="1:28" ht="30" customHeight="1">
      <c r="A38" s="110"/>
      <c r="B38" s="78"/>
      <c r="C38" s="78"/>
      <c r="D38" s="78"/>
      <c r="E38" s="78"/>
      <c r="F38" s="78"/>
      <c r="G38" s="78"/>
      <c r="H38" s="78"/>
      <c r="R38" s="78"/>
      <c r="S38" s="78"/>
      <c r="T38" s="78"/>
      <c r="U38" s="78"/>
      <c r="V38" s="78"/>
      <c r="W38" s="78"/>
      <c r="X38" s="78"/>
      <c r="Z38" s="78"/>
      <c r="AA38" s="78"/>
      <c r="AB38" s="78"/>
    </row>
    <row r="39" spans="1:28" ht="30" customHeight="1">
      <c r="A39" s="110"/>
      <c r="B39" s="78"/>
      <c r="C39" s="78"/>
      <c r="D39" s="78"/>
      <c r="E39" s="78"/>
      <c r="F39" s="78"/>
      <c r="G39" s="78"/>
      <c r="H39" s="78"/>
      <c r="R39" s="78"/>
      <c r="S39" s="78"/>
      <c r="T39" s="78"/>
      <c r="U39" s="78"/>
      <c r="V39" s="78"/>
      <c r="W39" s="78"/>
      <c r="X39" s="78"/>
      <c r="Z39" s="78"/>
      <c r="AA39" s="78"/>
      <c r="AB39" s="78"/>
    </row>
    <row r="40" spans="1:28" ht="30" customHeight="1">
      <c r="A40" s="110"/>
    </row>
  </sheetData>
  <mergeCells count="24">
    <mergeCell ref="B2:AB2"/>
    <mergeCell ref="W4:W5"/>
    <mergeCell ref="J4:J5"/>
    <mergeCell ref="Z4:Z5"/>
    <mergeCell ref="AB4:AB5"/>
    <mergeCell ref="N4:N5"/>
    <mergeCell ref="O4:O5"/>
    <mergeCell ref="AA4:AA5"/>
    <mergeCell ref="B6:AB6"/>
    <mergeCell ref="C4:C5"/>
    <mergeCell ref="B23:AB23"/>
    <mergeCell ref="Y4:Y5"/>
    <mergeCell ref="E4:E5"/>
    <mergeCell ref="R4:R5"/>
    <mergeCell ref="S4:S5"/>
    <mergeCell ref="T4:T5"/>
    <mergeCell ref="U4:U5"/>
    <mergeCell ref="V4:V5"/>
    <mergeCell ref="X4:X5"/>
    <mergeCell ref="F4:F5"/>
    <mergeCell ref="G4:G5"/>
    <mergeCell ref="H4:H5"/>
    <mergeCell ref="I4:I5"/>
    <mergeCell ref="D4:D5"/>
  </mergeCells>
  <conditionalFormatting sqref="M7:M22">
    <cfRule type="cellIs" dxfId="38" priority="133" stopIfTrue="1" operator="equal">
      <formula>"No"</formula>
    </cfRule>
    <cfRule type="cellIs" dxfId="37" priority="134" stopIfTrue="1" operator="equal">
      <formula>"Yes"</formula>
    </cfRule>
    <cfRule type="expression" dxfId="36" priority="135" stopIfTrue="1">
      <formula>#REF!</formula>
    </cfRule>
  </conditionalFormatting>
  <conditionalFormatting sqref="Q7:Q22">
    <cfRule type="cellIs" dxfId="35" priority="127" stopIfTrue="1" operator="equal">
      <formula>"No"</formula>
    </cfRule>
    <cfRule type="cellIs" dxfId="34" priority="128" stopIfTrue="1" operator="equal">
      <formula>"Yes"</formula>
    </cfRule>
    <cfRule type="expression" dxfId="33" priority="129" stopIfTrue="1">
      <formula>#REF!</formula>
    </cfRule>
  </conditionalFormatting>
  <conditionalFormatting sqref="O7:O22">
    <cfRule type="cellIs" dxfId="32" priority="85" stopIfTrue="1" operator="equal">
      <formula>"No"</formula>
    </cfRule>
    <cfRule type="cellIs" dxfId="31" priority="86" stopIfTrue="1" operator="equal">
      <formula>"Yes"</formula>
    </cfRule>
    <cfRule type="expression" dxfId="30" priority="87" stopIfTrue="1">
      <formula>#REF!</formula>
    </cfRule>
  </conditionalFormatting>
  <conditionalFormatting sqref="Y7:Y22">
    <cfRule type="cellIs" dxfId="29" priority="49" stopIfTrue="1" operator="equal">
      <formula>"No"</formula>
    </cfRule>
    <cfRule type="cellIs" dxfId="28" priority="50" stopIfTrue="1" operator="equal">
      <formula>"Yes"</formula>
    </cfRule>
    <cfRule type="expression" dxfId="27" priority="51" stopIfTrue="1">
      <formula>#REF!</formula>
    </cfRule>
  </conditionalFormatting>
  <conditionalFormatting sqref="M24:M32">
    <cfRule type="cellIs" dxfId="26" priority="10" stopIfTrue="1" operator="equal">
      <formula>"No"</formula>
    </cfRule>
    <cfRule type="cellIs" dxfId="25" priority="11" stopIfTrue="1" operator="equal">
      <formula>"Yes"</formula>
    </cfRule>
    <cfRule type="expression" dxfId="24" priority="12" stopIfTrue="1">
      <formula>#REF!</formula>
    </cfRule>
  </conditionalFormatting>
  <conditionalFormatting sqref="Q24:Q32">
    <cfRule type="cellIs" dxfId="23" priority="7" stopIfTrue="1" operator="equal">
      <formula>"No"</formula>
    </cfRule>
    <cfRule type="cellIs" dxfId="22" priority="8" stopIfTrue="1" operator="equal">
      <formula>"Yes"</formula>
    </cfRule>
    <cfRule type="expression" dxfId="21" priority="9" stopIfTrue="1">
      <formula>#REF!</formula>
    </cfRule>
  </conditionalFormatting>
  <conditionalFormatting sqref="O24:O32">
    <cfRule type="cellIs" dxfId="20" priority="4" stopIfTrue="1" operator="equal">
      <formula>"No"</formula>
    </cfRule>
    <cfRule type="cellIs" dxfId="19" priority="5" stopIfTrue="1" operator="equal">
      <formula>"Yes"</formula>
    </cfRule>
    <cfRule type="expression" dxfId="18" priority="6" stopIfTrue="1">
      <formula>#REF!</formula>
    </cfRule>
  </conditionalFormatting>
  <conditionalFormatting sqref="Y24:Y32">
    <cfRule type="cellIs" dxfId="17" priority="1" stopIfTrue="1" operator="equal">
      <formula>"No"</formula>
    </cfRule>
    <cfRule type="cellIs" dxfId="16" priority="2" stopIfTrue="1" operator="equal">
      <formula>"Yes"</formula>
    </cfRule>
    <cfRule type="expression" dxfId="15" priority="3" stopIfTrue="1">
      <formula>#REF!</formula>
    </cfRule>
  </conditionalFormatting>
  <printOptions horizontalCentered="1"/>
  <pageMargins left="0.5" right="0.5" top="0.75" bottom="0.75" header="0.3" footer="0.3"/>
  <pageSetup paperSize="3" scale="67" fitToHeight="0" orientation="landscape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Q24"/>
  <sheetViews>
    <sheetView tabSelected="1" zoomScale="85" zoomScaleNormal="85" workbookViewId="0">
      <selection activeCell="O11" sqref="O11"/>
    </sheetView>
  </sheetViews>
  <sheetFormatPr defaultRowHeight="15"/>
  <cols>
    <col min="1" max="3" width="9.140625" style="1"/>
    <col min="4" max="4" width="19.28515625" style="1" customWidth="1"/>
    <col min="5" max="5" width="12.5703125" style="1" customWidth="1"/>
    <col min="6" max="6" width="12.140625" style="1" customWidth="1"/>
    <col min="7" max="7" width="9.140625" style="1"/>
    <col min="8" max="8" width="11.42578125" style="1" customWidth="1"/>
    <col min="9" max="9" width="9.140625" style="1"/>
    <col min="10" max="10" width="11.5703125" style="1" customWidth="1"/>
    <col min="11" max="11" width="11.28515625" style="1" bestFit="1" customWidth="1"/>
    <col min="12" max="16384" width="9.140625" style="1"/>
  </cols>
  <sheetData>
    <row r="3" spans="3:17" ht="15.75" thickBot="1">
      <c r="C3" s="266" t="s">
        <v>205</v>
      </c>
      <c r="D3" s="266"/>
      <c r="E3" s="266"/>
      <c r="F3" s="266"/>
      <c r="G3" s="266"/>
      <c r="H3" s="266"/>
      <c r="I3" s="266"/>
      <c r="J3" s="266"/>
      <c r="K3" s="266"/>
    </row>
    <row r="4" spans="3:17" ht="38.25">
      <c r="C4" s="113" t="s">
        <v>77</v>
      </c>
      <c r="D4" s="269" t="s">
        <v>98</v>
      </c>
      <c r="E4" s="269" t="s">
        <v>78</v>
      </c>
      <c r="F4" s="269" t="s">
        <v>79</v>
      </c>
      <c r="G4" s="271" t="s">
        <v>184</v>
      </c>
      <c r="H4" s="271" t="s">
        <v>185</v>
      </c>
      <c r="I4" s="271" t="s">
        <v>186</v>
      </c>
      <c r="J4" s="271" t="s">
        <v>192</v>
      </c>
      <c r="K4" s="267" t="s">
        <v>91</v>
      </c>
    </row>
    <row r="5" spans="3:17" ht="15.75" thickBot="1">
      <c r="C5" s="193" t="s">
        <v>97</v>
      </c>
      <c r="D5" s="270"/>
      <c r="E5" s="270"/>
      <c r="F5" s="270"/>
      <c r="G5" s="272"/>
      <c r="H5" s="272"/>
      <c r="I5" s="272"/>
      <c r="J5" s="272"/>
      <c r="K5" s="268"/>
    </row>
    <row r="6" spans="3:17">
      <c r="C6" s="121">
        <v>10475</v>
      </c>
      <c r="D6" s="185" t="s">
        <v>100</v>
      </c>
      <c r="E6" s="194" t="s">
        <v>165</v>
      </c>
      <c r="F6" s="195">
        <f>VLOOKUP(E6,'100-yr Runoff'!B$6:L$37,11,FALSE)</f>
        <v>2.3702098625000003</v>
      </c>
      <c r="G6" s="194">
        <v>2.8</v>
      </c>
      <c r="H6" s="194">
        <v>1.7000000000000001E-2</v>
      </c>
      <c r="I6" s="194"/>
      <c r="J6" s="194"/>
      <c r="K6" s="196" t="s">
        <v>174</v>
      </c>
    </row>
    <row r="7" spans="3:17">
      <c r="C7" s="98">
        <v>11230</v>
      </c>
      <c r="D7" s="178" t="s">
        <v>100</v>
      </c>
      <c r="E7" s="3" t="s">
        <v>166</v>
      </c>
      <c r="F7" s="4">
        <f>VLOOKUP(E7,'100-yr Runoff'!B$6:L$37,11,FALSE)</f>
        <v>3.1644434735000004</v>
      </c>
      <c r="G7" s="3">
        <v>2.2000000000000002</v>
      </c>
      <c r="H7" s="3">
        <v>1.7000000000000001E-2</v>
      </c>
      <c r="I7" s="3">
        <v>4.9000000000000004</v>
      </c>
      <c r="J7" s="3" t="str">
        <f>IF(I7&lt;6,"YES","NO")</f>
        <v>YES</v>
      </c>
      <c r="K7" s="197" t="s">
        <v>187</v>
      </c>
      <c r="O7" s="2"/>
    </row>
    <row r="8" spans="3:17">
      <c r="C8" s="98">
        <v>11620</v>
      </c>
      <c r="D8" s="178" t="s">
        <v>100</v>
      </c>
      <c r="E8" s="3" t="s">
        <v>167</v>
      </c>
      <c r="F8" s="4">
        <f>VLOOKUP(E8,'100-yr Runoff'!B$6:L$37,11,FALSE)</f>
        <v>3.7592763689999997</v>
      </c>
      <c r="G8" s="3">
        <v>2.2000000000000002</v>
      </c>
      <c r="H8" s="3">
        <v>1.7000000000000001E-2</v>
      </c>
      <c r="I8" s="3">
        <v>4.2</v>
      </c>
      <c r="J8" s="3" t="str">
        <f t="shared" ref="J8:J16" si="0">IF(I8&lt;6,"YES","NO")</f>
        <v>YES</v>
      </c>
      <c r="K8" s="197" t="s">
        <v>187</v>
      </c>
      <c r="O8" s="2"/>
    </row>
    <row r="9" spans="3:17">
      <c r="C9" s="98">
        <v>12025</v>
      </c>
      <c r="D9" s="178" t="s">
        <v>100</v>
      </c>
      <c r="E9" s="3" t="s">
        <v>168</v>
      </c>
      <c r="F9" s="4">
        <f>VLOOKUP(E9,'100-yr Runoff'!B$6:L$37,11,FALSE)</f>
        <v>4.9510634055000002</v>
      </c>
      <c r="G9" s="3">
        <v>2.4</v>
      </c>
      <c r="H9" s="3">
        <v>1.7000000000000001E-2</v>
      </c>
      <c r="I9" s="3">
        <v>4.5999999999999996</v>
      </c>
      <c r="J9" s="3" t="str">
        <f t="shared" si="0"/>
        <v>YES</v>
      </c>
      <c r="K9" s="197" t="s">
        <v>187</v>
      </c>
    </row>
    <row r="10" spans="3:17">
      <c r="C10" s="98">
        <v>12388</v>
      </c>
      <c r="D10" s="178" t="s">
        <v>100</v>
      </c>
      <c r="E10" s="3" t="s">
        <v>169</v>
      </c>
      <c r="F10" s="4">
        <f>VLOOKUP(E10,'100-yr Runoff'!B$6:L$37,11,FALSE)</f>
        <v>3.5646311729999995</v>
      </c>
      <c r="G10" s="3">
        <f>1.7</f>
        <v>1.7</v>
      </c>
      <c r="H10" s="3">
        <v>1.7000000000000001E-2</v>
      </c>
      <c r="I10" s="3">
        <v>4.3</v>
      </c>
      <c r="J10" s="3" t="str">
        <f t="shared" si="0"/>
        <v>YES</v>
      </c>
      <c r="K10" s="197" t="s">
        <v>187</v>
      </c>
    </row>
    <row r="11" spans="3:17">
      <c r="C11" s="98">
        <v>12850</v>
      </c>
      <c r="D11" s="178" t="s">
        <v>100</v>
      </c>
      <c r="E11" s="3" t="s">
        <v>170</v>
      </c>
      <c r="F11" s="4">
        <f>VLOOKUP(E11,'100-yr Runoff'!B$6:L$37,11,FALSE)</f>
        <v>4.7119848475000001</v>
      </c>
      <c r="G11" s="3">
        <f>1.7</f>
        <v>1.7</v>
      </c>
      <c r="H11" s="3">
        <v>1.7000000000000001E-2</v>
      </c>
      <c r="I11" s="3">
        <v>4.8</v>
      </c>
      <c r="J11" s="3" t="str">
        <f t="shared" si="0"/>
        <v>YES</v>
      </c>
      <c r="K11" s="197" t="s">
        <v>187</v>
      </c>
    </row>
    <row r="12" spans="3:17">
      <c r="C12" s="98">
        <v>13190</v>
      </c>
      <c r="D12" s="178" t="s">
        <v>100</v>
      </c>
      <c r="E12" s="3" t="s">
        <v>171</v>
      </c>
      <c r="F12" s="4">
        <f>VLOOKUP(E12,'100-yr Runoff'!B$6:L$37,11,FALSE)</f>
        <v>8.6716006650000015</v>
      </c>
      <c r="G12" s="3">
        <f>1.1</f>
        <v>1.1000000000000001</v>
      </c>
      <c r="H12" s="3">
        <v>1.7000000000000001E-2</v>
      </c>
      <c r="I12" s="3">
        <v>6.8</v>
      </c>
      <c r="J12" s="3" t="str">
        <f t="shared" si="0"/>
        <v>NO</v>
      </c>
      <c r="K12" s="197" t="s">
        <v>187</v>
      </c>
      <c r="Q12" s="1" t="s">
        <v>204</v>
      </c>
    </row>
    <row r="13" spans="3:17">
      <c r="C13" s="98">
        <v>13335</v>
      </c>
      <c r="D13" s="178" t="s">
        <v>100</v>
      </c>
      <c r="E13" s="3" t="s">
        <v>172</v>
      </c>
      <c r="F13" s="4">
        <f>VLOOKUP(E13,'100-yr Runoff'!B$6:L$37,11,FALSE)</f>
        <v>2.5751083514999999</v>
      </c>
      <c r="G13" s="3">
        <f>1.1</f>
        <v>1.1000000000000001</v>
      </c>
      <c r="H13" s="3">
        <v>1.7000000000000001E-2</v>
      </c>
      <c r="I13" s="3">
        <v>4.2</v>
      </c>
      <c r="J13" s="3" t="str">
        <f t="shared" si="0"/>
        <v>YES</v>
      </c>
      <c r="K13" s="197" t="s">
        <v>187</v>
      </c>
    </row>
    <row r="14" spans="3:17">
      <c r="C14" s="98">
        <v>14300</v>
      </c>
      <c r="D14" s="178" t="s">
        <v>100</v>
      </c>
      <c r="E14" s="3" t="s">
        <v>189</v>
      </c>
      <c r="F14" s="4">
        <f>VLOOKUP(E14,'100-yr Runoff'!B$6:L$37,11,FALSE)</f>
        <v>4.8909844935000004</v>
      </c>
      <c r="G14" s="3">
        <v>1.6</v>
      </c>
      <c r="H14" s="3">
        <v>1.7000000000000001E-2</v>
      </c>
      <c r="I14" s="3">
        <v>4.9000000000000004</v>
      </c>
      <c r="J14" s="3" t="str">
        <f t="shared" si="0"/>
        <v>YES</v>
      </c>
      <c r="K14" s="197" t="s">
        <v>187</v>
      </c>
    </row>
    <row r="15" spans="3:17">
      <c r="C15" s="98">
        <v>14700</v>
      </c>
      <c r="D15" s="178" t="s">
        <v>100</v>
      </c>
      <c r="E15" s="3" t="s">
        <v>188</v>
      </c>
      <c r="F15" s="4">
        <f>VLOOKUP(E15,'100-yr Runoff'!B$6:L$37,11,FALSE)</f>
        <v>4.8083650739999992</v>
      </c>
      <c r="G15" s="3">
        <v>1.6</v>
      </c>
      <c r="H15" s="3">
        <v>1.7000000000000001E-2</v>
      </c>
      <c r="I15" s="3">
        <v>4.9000000000000004</v>
      </c>
      <c r="J15" s="3" t="str">
        <f t="shared" si="0"/>
        <v>YES</v>
      </c>
      <c r="K15" s="197" t="s">
        <v>187</v>
      </c>
    </row>
    <row r="16" spans="3:17">
      <c r="C16" s="98">
        <v>14900</v>
      </c>
      <c r="D16" s="178" t="s">
        <v>100</v>
      </c>
      <c r="E16" s="3" t="s">
        <v>190</v>
      </c>
      <c r="F16" s="4">
        <f>VLOOKUP(E16,'100-yr Runoff'!B$6:L$37,11,FALSE)</f>
        <v>9.4511965905000004</v>
      </c>
      <c r="G16" s="3">
        <v>1.3</v>
      </c>
      <c r="H16" s="3">
        <v>1.7000000000000001E-2</v>
      </c>
      <c r="I16" s="3">
        <v>6.6</v>
      </c>
      <c r="J16" s="3" t="str">
        <f t="shared" si="0"/>
        <v>NO</v>
      </c>
      <c r="K16" s="197" t="s">
        <v>187</v>
      </c>
    </row>
    <row r="17" spans="3:11" ht="15.75" thickBot="1">
      <c r="C17" s="182">
        <v>15050</v>
      </c>
      <c r="D17" s="186" t="s">
        <v>100</v>
      </c>
      <c r="E17" s="198" t="s">
        <v>191</v>
      </c>
      <c r="F17" s="199">
        <f>VLOOKUP(E17,'100-yr Runoff'!B$6:L$37,11,FALSE)</f>
        <v>9.7353670790000013</v>
      </c>
      <c r="G17" s="198">
        <v>1.3</v>
      </c>
      <c r="H17" s="198">
        <v>1.7000000000000001E-2</v>
      </c>
      <c r="I17" s="198">
        <v>6.7</v>
      </c>
      <c r="J17" s="198" t="str">
        <f t="shared" ref="J17" si="1">IF(I17&lt;6,"YES","NO")</f>
        <v>NO</v>
      </c>
      <c r="K17" s="200" t="s">
        <v>187</v>
      </c>
    </row>
    <row r="19" spans="3:11" ht="31.5" customHeight="1">
      <c r="C19" s="297" t="s">
        <v>208</v>
      </c>
      <c r="D19" s="265"/>
      <c r="E19" s="265"/>
      <c r="F19" s="265"/>
      <c r="G19" s="265"/>
      <c r="H19" s="265"/>
      <c r="I19" s="265"/>
      <c r="J19" s="265"/>
      <c r="K19" s="265"/>
    </row>
    <row r="24" spans="3:11">
      <c r="E24" s="2">
        <f>F12+F13</f>
        <v>11.246709016500002</v>
      </c>
    </row>
  </sheetData>
  <mergeCells count="10">
    <mergeCell ref="C19:K19"/>
    <mergeCell ref="C3:K3"/>
    <mergeCell ref="K4:K5"/>
    <mergeCell ref="D4:D5"/>
    <mergeCell ref="E4:E5"/>
    <mergeCell ref="F4:F5"/>
    <mergeCell ref="G4:G5"/>
    <mergeCell ref="H4:H5"/>
    <mergeCell ref="I4:I5"/>
    <mergeCell ref="J4:J5"/>
  </mergeCells>
  <conditionalFormatting sqref="J6:J17">
    <cfRule type="cellIs" dxfId="14" priority="3" operator="equal">
      <formula>"YES"</formula>
    </cfRule>
  </conditionalFormatting>
  <conditionalFormatting sqref="J12">
    <cfRule type="cellIs" dxfId="13" priority="2" operator="equal">
      <formula>"NO"</formula>
    </cfRule>
  </conditionalFormatting>
  <conditionalFormatting sqref="J16:J17">
    <cfRule type="cellIs" dxfId="12" priority="1" operator="equal">
      <formula>"NO"</formula>
    </cfRule>
  </conditionalFormatting>
  <printOptions horizontalCentered="1" verticalCentered="1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workbookViewId="0">
      <selection activeCell="U34" sqref="U34:V35"/>
    </sheetView>
  </sheetViews>
  <sheetFormatPr defaultRowHeight="15"/>
  <cols>
    <col min="3" max="3" width="18.42578125" bestFit="1" customWidth="1"/>
  </cols>
  <sheetData>
    <row r="1" spans="1:22">
      <c r="A1">
        <f>A3+(B2*0.003)</f>
        <v>4937.0374999999995</v>
      </c>
      <c r="F1">
        <v>4934.8599999999997</v>
      </c>
    </row>
    <row r="2" spans="1:22">
      <c r="B2">
        <v>327</v>
      </c>
      <c r="G2">
        <v>102</v>
      </c>
    </row>
    <row r="3" spans="1:22">
      <c r="A3">
        <f>A5+(B4*0.003)</f>
        <v>4936.0564999999997</v>
      </c>
      <c r="F3">
        <f>F1+(G2*0.003)</f>
        <v>4935.1659999999993</v>
      </c>
    </row>
    <row r="4" spans="1:22">
      <c r="B4">
        <v>399</v>
      </c>
      <c r="G4">
        <v>191</v>
      </c>
    </row>
    <row r="5" spans="1:22">
      <c r="A5">
        <f>A7+(B6*0.003)</f>
        <v>4934.8594999999996</v>
      </c>
      <c r="F5">
        <f>F3+(G4*0.003)</f>
        <v>4935.7389999999996</v>
      </c>
    </row>
    <row r="6" spans="1:22">
      <c r="B6">
        <v>74</v>
      </c>
    </row>
    <row r="7" spans="1:22">
      <c r="A7">
        <f>A9+(B8*0.003)</f>
        <v>4934.6374999999998</v>
      </c>
      <c r="U7" t="s">
        <v>141</v>
      </c>
      <c r="V7" t="s">
        <v>140</v>
      </c>
    </row>
    <row r="8" spans="1:22">
      <c r="B8">
        <v>304.5</v>
      </c>
      <c r="U8" t="s">
        <v>28</v>
      </c>
      <c r="V8">
        <v>0.73328499999999996</v>
      </c>
    </row>
    <row r="9" spans="1:22">
      <c r="A9">
        <f>A11+(B10*0.003)</f>
        <v>4933.7240000000002</v>
      </c>
      <c r="U9" t="s">
        <v>22</v>
      </c>
      <c r="V9">
        <v>0.73960599999999999</v>
      </c>
    </row>
    <row r="10" spans="1:22">
      <c r="B10">
        <v>234</v>
      </c>
      <c r="U10" t="s">
        <v>21</v>
      </c>
      <c r="V10">
        <v>0.79288400000000003</v>
      </c>
    </row>
    <row r="11" spans="1:22">
      <c r="A11">
        <f>A13+(B12*0.003)</f>
        <v>4933.0219999999999</v>
      </c>
      <c r="U11" t="s">
        <v>24</v>
      </c>
      <c r="V11">
        <v>0.72142600000000001</v>
      </c>
    </row>
    <row r="12" spans="1:22">
      <c r="B12">
        <v>74</v>
      </c>
      <c r="U12" t="s">
        <v>26</v>
      </c>
      <c r="V12">
        <v>0.52869500000000003</v>
      </c>
    </row>
    <row r="13" spans="1:22">
      <c r="A13">
        <v>4932.8</v>
      </c>
      <c r="U13" t="s">
        <v>23</v>
      </c>
      <c r="V13">
        <v>0.31398300000000001</v>
      </c>
    </row>
    <row r="14" spans="1:22">
      <c r="U14" t="s">
        <v>29</v>
      </c>
      <c r="V14">
        <v>0.70745800000000003</v>
      </c>
    </row>
    <row r="15" spans="1:22">
      <c r="U15" t="s">
        <v>25</v>
      </c>
      <c r="V15">
        <v>0.50716600000000001</v>
      </c>
    </row>
    <row r="16" spans="1:22">
      <c r="U16" t="s">
        <v>27</v>
      </c>
      <c r="V16">
        <v>0.46362100000000001</v>
      </c>
    </row>
    <row r="17" spans="3:33">
      <c r="C17" t="s">
        <v>131</v>
      </c>
      <c r="U17" t="s">
        <v>157</v>
      </c>
      <c r="V17">
        <v>0.104856</v>
      </c>
    </row>
    <row r="18" spans="3:33">
      <c r="C18" t="s">
        <v>132</v>
      </c>
      <c r="U18" t="s">
        <v>158</v>
      </c>
      <c r="V18">
        <v>0.33191900000000002</v>
      </c>
    </row>
    <row r="19" spans="3:33">
      <c r="C19" t="s">
        <v>133</v>
      </c>
      <c r="U19" t="s">
        <v>159</v>
      </c>
      <c r="V19">
        <v>0.24190700000000001</v>
      </c>
    </row>
    <row r="20" spans="3:33">
      <c r="C20" t="s">
        <v>134</v>
      </c>
      <c r="U20" t="s">
        <v>160</v>
      </c>
      <c r="V20">
        <v>0.44311</v>
      </c>
      <c r="AC20" t="s">
        <v>153</v>
      </c>
      <c r="AD20" t="s">
        <v>154</v>
      </c>
      <c r="AE20" t="s">
        <v>155</v>
      </c>
      <c r="AF20" t="s">
        <v>141</v>
      </c>
      <c r="AG20" t="s">
        <v>140</v>
      </c>
    </row>
    <row r="21" spans="3:33">
      <c r="C21">
        <f>1.04*43560</f>
        <v>45302.400000000001</v>
      </c>
      <c r="D21" t="s">
        <v>135</v>
      </c>
      <c r="U21" t="s">
        <v>161</v>
      </c>
      <c r="V21">
        <v>0.27080300000000002</v>
      </c>
      <c r="AC21">
        <v>7</v>
      </c>
      <c r="AD21" t="s">
        <v>156</v>
      </c>
      <c r="AE21">
        <v>0</v>
      </c>
      <c r="AF21" t="s">
        <v>191</v>
      </c>
      <c r="AG21">
        <v>2.6756540000000002</v>
      </c>
    </row>
    <row r="22" spans="3:33">
      <c r="C22">
        <f>C21/32</f>
        <v>1415.7</v>
      </c>
      <c r="D22" t="s">
        <v>136</v>
      </c>
      <c r="U22" t="s">
        <v>162</v>
      </c>
      <c r="V22">
        <v>9.9219000000000002E-2</v>
      </c>
      <c r="AC22">
        <v>50</v>
      </c>
      <c r="AD22" t="s">
        <v>156</v>
      </c>
      <c r="AE22">
        <v>0</v>
      </c>
      <c r="AF22" t="s">
        <v>190</v>
      </c>
      <c r="AG22">
        <v>2.597553</v>
      </c>
    </row>
    <row r="23" spans="3:33">
      <c r="U23" t="s">
        <v>163</v>
      </c>
      <c r="V23">
        <v>0.29681800000000003</v>
      </c>
    </row>
    <row r="24" spans="3:33">
      <c r="U24" t="s">
        <v>164</v>
      </c>
      <c r="V24">
        <v>0.28165200000000001</v>
      </c>
    </row>
    <row r="25" spans="3:33">
      <c r="U25" t="s">
        <v>188</v>
      </c>
      <c r="V25">
        <v>1.3215239999999999</v>
      </c>
      <c r="AC25" t="s">
        <v>153</v>
      </c>
      <c r="AD25" t="s">
        <v>154</v>
      </c>
      <c r="AE25" t="s">
        <v>155</v>
      </c>
      <c r="AF25" t="s">
        <v>141</v>
      </c>
      <c r="AG25" t="s">
        <v>140</v>
      </c>
    </row>
    <row r="26" spans="3:33">
      <c r="U26" t="s">
        <v>191</v>
      </c>
      <c r="V26">
        <v>2.6756540000000002</v>
      </c>
      <c r="AC26">
        <v>17</v>
      </c>
      <c r="AD26" t="s">
        <v>156</v>
      </c>
      <c r="AE26">
        <v>0</v>
      </c>
      <c r="AF26" t="s">
        <v>170</v>
      </c>
      <c r="AG26">
        <v>1.2950349999999999</v>
      </c>
    </row>
    <row r="27" spans="3:33">
      <c r="U27" t="s">
        <v>190</v>
      </c>
      <c r="V27">
        <v>2.597553</v>
      </c>
      <c r="AC27">
        <v>4</v>
      </c>
      <c r="AD27" t="s">
        <v>156</v>
      </c>
      <c r="AE27">
        <v>0</v>
      </c>
      <c r="AF27" t="s">
        <v>171</v>
      </c>
      <c r="AG27">
        <v>2.1732109999999998</v>
      </c>
    </row>
    <row r="28" spans="3:33">
      <c r="U28" t="s">
        <v>165</v>
      </c>
      <c r="V28">
        <v>0.65142500000000003</v>
      </c>
    </row>
    <row r="29" spans="3:33">
      <c r="U29" t="s">
        <v>166</v>
      </c>
      <c r="V29">
        <v>0.86971100000000001</v>
      </c>
    </row>
    <row r="30" spans="3:33">
      <c r="U30" t="s">
        <v>167</v>
      </c>
      <c r="V30">
        <v>1.0331939999999999</v>
      </c>
      <c r="AC30" t="s">
        <v>153</v>
      </c>
      <c r="AD30" t="s">
        <v>154</v>
      </c>
      <c r="AE30" t="s">
        <v>155</v>
      </c>
      <c r="AF30" t="s">
        <v>141</v>
      </c>
      <c r="AG30" t="s">
        <v>140</v>
      </c>
    </row>
    <row r="31" spans="3:33">
      <c r="U31" t="s">
        <v>168</v>
      </c>
      <c r="V31">
        <v>1.360743</v>
      </c>
      <c r="AC31">
        <v>4</v>
      </c>
      <c r="AD31" t="s">
        <v>156</v>
      </c>
      <c r="AE31">
        <v>0</v>
      </c>
      <c r="AF31" t="s">
        <v>171</v>
      </c>
      <c r="AG31">
        <v>2.3832900000000001</v>
      </c>
    </row>
    <row r="32" spans="3:33">
      <c r="U32" t="s">
        <v>169</v>
      </c>
      <c r="V32">
        <v>0.97969799999999996</v>
      </c>
      <c r="AC32">
        <v>5</v>
      </c>
      <c r="AD32" t="s">
        <v>156</v>
      </c>
      <c r="AE32">
        <v>0</v>
      </c>
      <c r="AF32" t="s">
        <v>172</v>
      </c>
      <c r="AG32">
        <v>0.70773900000000001</v>
      </c>
    </row>
    <row r="33" spans="21:22">
      <c r="U33" t="s">
        <v>170</v>
      </c>
      <c r="V33">
        <v>1.2950349999999999</v>
      </c>
    </row>
    <row r="34" spans="21:22">
      <c r="U34" t="s">
        <v>171</v>
      </c>
      <c r="V34">
        <v>2.3832900000000001</v>
      </c>
    </row>
    <row r="35" spans="21:22">
      <c r="U35" t="s">
        <v>172</v>
      </c>
      <c r="V35">
        <v>0.70773900000000001</v>
      </c>
    </row>
    <row r="36" spans="21:22">
      <c r="U36" t="s">
        <v>189</v>
      </c>
      <c r="V36">
        <v>1.344231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S30"/>
  <sheetViews>
    <sheetView workbookViewId="0"/>
  </sheetViews>
  <sheetFormatPr defaultColWidth="11.140625" defaultRowHeight="20.100000000000001" customHeight="1"/>
  <cols>
    <col min="2" max="2" width="10.5703125" style="7" customWidth="1"/>
    <col min="3" max="3" width="10.28515625" style="7" customWidth="1"/>
    <col min="4" max="4" width="13.28515625" style="24" customWidth="1"/>
    <col min="5" max="5" width="7.85546875" customWidth="1"/>
    <col min="6" max="6" width="9.5703125" style="25" bestFit="1" customWidth="1"/>
    <col min="7" max="7" width="12.5703125" customWidth="1"/>
    <col min="8" max="8" width="10.7109375" style="24" customWidth="1"/>
    <col min="9" max="9" width="15.28515625" style="24" customWidth="1"/>
    <col min="10" max="10" width="12.5703125" style="7" customWidth="1"/>
    <col min="11" max="11" width="13" style="7" customWidth="1"/>
    <col min="12" max="12" width="9" style="24" customWidth="1"/>
    <col min="13" max="13" width="10.140625" style="24" customWidth="1"/>
    <col min="14" max="14" width="11.28515625" style="24" customWidth="1"/>
    <col min="15" max="15" width="9.28515625" style="25" customWidth="1"/>
    <col min="17" max="17" width="43.140625" customWidth="1"/>
  </cols>
  <sheetData>
    <row r="6" spans="1:19" ht="20.25">
      <c r="B6" s="273" t="s">
        <v>103</v>
      </c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3"/>
      <c r="O6" s="273"/>
      <c r="P6" s="273"/>
      <c r="Q6" s="273"/>
    </row>
    <row r="7" spans="1:19" ht="15.75" thickBot="1"/>
    <row r="8" spans="1:19" ht="21.75" customHeight="1">
      <c r="B8" s="274" t="s">
        <v>104</v>
      </c>
      <c r="C8" s="276" t="s">
        <v>105</v>
      </c>
      <c r="D8" s="278" t="s">
        <v>106</v>
      </c>
      <c r="E8" s="280" t="s">
        <v>107</v>
      </c>
      <c r="F8" s="282" t="s">
        <v>108</v>
      </c>
      <c r="G8" s="278" t="s">
        <v>109</v>
      </c>
      <c r="H8" s="284" t="s">
        <v>110</v>
      </c>
      <c r="I8" s="286" t="s">
        <v>111</v>
      </c>
      <c r="J8" s="287"/>
      <c r="K8" s="288"/>
      <c r="L8" s="284" t="s">
        <v>48</v>
      </c>
      <c r="M8" s="284" t="s">
        <v>112</v>
      </c>
      <c r="N8" s="284" t="s">
        <v>93</v>
      </c>
      <c r="O8" s="293" t="s">
        <v>113</v>
      </c>
      <c r="P8" s="295" t="s">
        <v>86</v>
      </c>
      <c r="Q8" s="295" t="s">
        <v>114</v>
      </c>
    </row>
    <row r="9" spans="1:19" ht="40.5" customHeight="1" thickBot="1">
      <c r="B9" s="275"/>
      <c r="C9" s="277"/>
      <c r="D9" s="279"/>
      <c r="E9" s="281"/>
      <c r="F9" s="283"/>
      <c r="G9" s="279"/>
      <c r="H9" s="285"/>
      <c r="I9" s="77" t="s">
        <v>115</v>
      </c>
      <c r="J9" s="62" t="s">
        <v>116</v>
      </c>
      <c r="K9" s="62" t="s">
        <v>117</v>
      </c>
      <c r="L9" s="289"/>
      <c r="M9" s="289"/>
      <c r="N9" s="289"/>
      <c r="O9" s="294"/>
      <c r="P9" s="296"/>
      <c r="Q9" s="296"/>
    </row>
    <row r="10" spans="1:19" ht="30" customHeight="1" thickBot="1">
      <c r="B10" s="290" t="s">
        <v>118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2"/>
    </row>
    <row r="11" spans="1:19" ht="30" customHeight="1">
      <c r="B11" s="46">
        <v>11053</v>
      </c>
      <c r="C11" s="26">
        <v>10900</v>
      </c>
      <c r="D11" s="35">
        <v>0.32</v>
      </c>
      <c r="E11" s="28">
        <v>1.5</v>
      </c>
      <c r="F11" s="28">
        <v>13</v>
      </c>
      <c r="G11" s="36">
        <v>1.7000000000000001E-2</v>
      </c>
      <c r="H11" s="30">
        <f>IF(G11=0," ",((((((E11/100)^1.67)*0.56)/G11)*((D11/100)^0.5))*(F11^2.67)))</f>
        <v>1.5798477939374469</v>
      </c>
      <c r="I11" s="31">
        <f t="shared" ref="I11:I16" si="0">B11-C11</f>
        <v>153</v>
      </c>
      <c r="J11" s="31">
        <v>40</v>
      </c>
      <c r="K11" s="31">
        <f>(I11*J11)/43560</f>
        <v>0.14049586776859505</v>
      </c>
      <c r="L11" s="31">
        <v>0.95</v>
      </c>
      <c r="M11" s="31">
        <v>5.23</v>
      </c>
      <c r="N11" s="31">
        <v>0</v>
      </c>
      <c r="O11" s="65">
        <f>(K11*L11*M11)+N11</f>
        <v>0.69805371900826452</v>
      </c>
      <c r="P11" s="37" t="str">
        <f t="shared" ref="P11:P22" si="1">IF(O11&lt;=H11,"Yes","No")</f>
        <v>Yes</v>
      </c>
      <c r="Q11" s="58" t="s">
        <v>119</v>
      </c>
    </row>
    <row r="12" spans="1:19" ht="30" customHeight="1">
      <c r="B12" s="46">
        <v>11053</v>
      </c>
      <c r="C12" s="26">
        <v>10800</v>
      </c>
      <c r="D12" s="27">
        <v>0.37</v>
      </c>
      <c r="E12" s="34">
        <v>1.5</v>
      </c>
      <c r="F12" s="28">
        <v>13</v>
      </c>
      <c r="G12" s="29">
        <v>1.7000000000000001E-2</v>
      </c>
      <c r="H12" s="33">
        <f t="shared" ref="H12:H22" si="2">IF(G12=0," ",((((((E12/100)^1.67)*0.56)/G12)*((D12/100)^0.5))*(F12^2.67)))</f>
        <v>1.6987955744837067</v>
      </c>
      <c r="I12" s="31">
        <f t="shared" si="0"/>
        <v>253</v>
      </c>
      <c r="J12" s="31">
        <v>40</v>
      </c>
      <c r="K12" s="31">
        <f t="shared" ref="K12:K22" si="3">(I12*J12)/43560</f>
        <v>0.23232323232323232</v>
      </c>
      <c r="L12" s="31">
        <v>0.95</v>
      </c>
      <c r="M12" s="31">
        <v>5.23</v>
      </c>
      <c r="N12" s="31">
        <v>0</v>
      </c>
      <c r="O12" s="65">
        <f t="shared" ref="O12:O22" si="4">(K12*L12*M12)+N12</f>
        <v>1.1542979797979798</v>
      </c>
      <c r="P12" s="32" t="str">
        <f t="shared" si="1"/>
        <v>Yes</v>
      </c>
      <c r="Q12" s="58" t="s">
        <v>119</v>
      </c>
    </row>
    <row r="13" spans="1:19" ht="30" customHeight="1">
      <c r="A13" s="22"/>
      <c r="B13" s="46">
        <v>11053</v>
      </c>
      <c r="C13" s="26">
        <v>10600</v>
      </c>
      <c r="D13" s="27">
        <v>0.37</v>
      </c>
      <c r="E13" s="34">
        <v>1.5</v>
      </c>
      <c r="F13" s="28">
        <v>13</v>
      </c>
      <c r="G13" s="29">
        <v>1.7000000000000001E-2</v>
      </c>
      <c r="H13" s="33">
        <f t="shared" si="2"/>
        <v>1.6987955744837067</v>
      </c>
      <c r="I13" s="31">
        <f t="shared" si="0"/>
        <v>453</v>
      </c>
      <c r="J13" s="31">
        <v>40</v>
      </c>
      <c r="K13" s="31">
        <f t="shared" si="3"/>
        <v>0.41597796143250687</v>
      </c>
      <c r="L13" s="31">
        <v>0.95</v>
      </c>
      <c r="M13" s="31">
        <v>5.23</v>
      </c>
      <c r="N13" s="31">
        <v>0</v>
      </c>
      <c r="O13" s="65">
        <f t="shared" si="4"/>
        <v>2.0667865013774103</v>
      </c>
      <c r="P13" s="32" t="str">
        <f t="shared" si="1"/>
        <v>No</v>
      </c>
      <c r="Q13" s="59" t="s">
        <v>120</v>
      </c>
    </row>
    <row r="14" spans="1:19" ht="30" customHeight="1">
      <c r="A14" s="22"/>
      <c r="B14" s="46">
        <v>10600</v>
      </c>
      <c r="C14" s="26">
        <v>10209</v>
      </c>
      <c r="D14" s="27">
        <v>0.37</v>
      </c>
      <c r="E14" s="34">
        <v>1.5</v>
      </c>
      <c r="F14" s="28">
        <v>13</v>
      </c>
      <c r="G14" s="29">
        <v>1.7000000000000001E-2</v>
      </c>
      <c r="H14" s="33">
        <f t="shared" si="2"/>
        <v>1.6987955744837067</v>
      </c>
      <c r="I14" s="31">
        <f t="shared" si="0"/>
        <v>391</v>
      </c>
      <c r="J14" s="31">
        <v>40</v>
      </c>
      <c r="K14" s="31">
        <f t="shared" si="3"/>
        <v>0.35904499540863177</v>
      </c>
      <c r="L14" s="31">
        <v>0.95</v>
      </c>
      <c r="M14" s="31">
        <v>5.23</v>
      </c>
      <c r="N14" s="31">
        <v>0.14000000000000001</v>
      </c>
      <c r="O14" s="65">
        <f t="shared" si="4"/>
        <v>1.9239150596877872</v>
      </c>
      <c r="P14" s="32" t="str">
        <f t="shared" si="1"/>
        <v>No</v>
      </c>
      <c r="Q14" s="59" t="s">
        <v>121</v>
      </c>
    </row>
    <row r="15" spans="1:19" ht="30" customHeight="1">
      <c r="A15" s="22"/>
      <c r="B15" s="46">
        <v>20805</v>
      </c>
      <c r="C15" s="26">
        <v>20600</v>
      </c>
      <c r="D15" s="27">
        <v>0.3</v>
      </c>
      <c r="E15" s="34">
        <v>2</v>
      </c>
      <c r="F15" s="28">
        <v>8</v>
      </c>
      <c r="G15" s="29">
        <v>1.7000000000000001E-2</v>
      </c>
      <c r="H15" s="33">
        <f t="shared" si="2"/>
        <v>0.67650356726657279</v>
      </c>
      <c r="I15" s="31">
        <f t="shared" si="0"/>
        <v>205</v>
      </c>
      <c r="J15" s="31">
        <v>30</v>
      </c>
      <c r="K15" s="31">
        <f t="shared" si="3"/>
        <v>0.14118457300275483</v>
      </c>
      <c r="L15" s="31">
        <v>0.95</v>
      </c>
      <c r="M15" s="31">
        <v>5.23</v>
      </c>
      <c r="N15" s="31">
        <v>0</v>
      </c>
      <c r="O15" s="65">
        <f t="shared" si="4"/>
        <v>0.70147555096418734</v>
      </c>
      <c r="P15" s="32" t="str">
        <f t="shared" si="1"/>
        <v>No</v>
      </c>
      <c r="Q15" s="59" t="s">
        <v>122</v>
      </c>
    </row>
    <row r="16" spans="1:19" ht="30" customHeight="1" thickBot="1">
      <c r="A16" s="22"/>
      <c r="B16" s="47">
        <v>21075</v>
      </c>
      <c r="C16" s="38">
        <v>21000</v>
      </c>
      <c r="D16" s="39">
        <v>0.33</v>
      </c>
      <c r="E16" s="40">
        <v>2</v>
      </c>
      <c r="F16" s="41">
        <v>8</v>
      </c>
      <c r="G16" s="42">
        <v>1.7000000000000001E-2</v>
      </c>
      <c r="H16" s="43">
        <f t="shared" si="2"/>
        <v>0.70952292716785281</v>
      </c>
      <c r="I16" s="44">
        <f t="shared" si="0"/>
        <v>75</v>
      </c>
      <c r="J16" s="44">
        <v>30</v>
      </c>
      <c r="K16" s="44">
        <f t="shared" si="3"/>
        <v>5.1652892561983473E-2</v>
      </c>
      <c r="L16" s="44">
        <v>0.95</v>
      </c>
      <c r="M16" s="31">
        <v>5.23</v>
      </c>
      <c r="N16" s="44">
        <v>0</v>
      </c>
      <c r="O16" s="66">
        <f t="shared" si="4"/>
        <v>0.25663739669421487</v>
      </c>
      <c r="P16" s="45" t="str">
        <f t="shared" si="1"/>
        <v>Yes</v>
      </c>
      <c r="Q16" s="60" t="s">
        <v>123</v>
      </c>
      <c r="S16" s="24"/>
    </row>
    <row r="17" spans="2:17" ht="30" customHeight="1" thickBot="1">
      <c r="B17" s="290" t="s">
        <v>124</v>
      </c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2"/>
    </row>
    <row r="18" spans="2:17" ht="30" customHeight="1">
      <c r="B18" s="46">
        <v>11053</v>
      </c>
      <c r="C18" s="26">
        <v>11400</v>
      </c>
      <c r="D18" s="35">
        <v>0.3</v>
      </c>
      <c r="E18" s="28">
        <v>1.5</v>
      </c>
      <c r="F18" s="28">
        <v>13</v>
      </c>
      <c r="G18" s="36">
        <v>1.7000000000000001E-2</v>
      </c>
      <c r="H18" s="30">
        <f t="shared" si="2"/>
        <v>1.5296810488655646</v>
      </c>
      <c r="I18" s="31">
        <f>ABS(B18-C18)</f>
        <v>347</v>
      </c>
      <c r="J18" s="31">
        <v>40</v>
      </c>
      <c r="K18" s="31">
        <f t="shared" si="3"/>
        <v>0.31864095500459139</v>
      </c>
      <c r="L18" s="31">
        <v>0.95</v>
      </c>
      <c r="M18" s="31">
        <v>5.23</v>
      </c>
      <c r="N18" s="31">
        <v>0.5</v>
      </c>
      <c r="O18" s="30">
        <f t="shared" si="4"/>
        <v>2.0831675849403122</v>
      </c>
      <c r="P18" s="37" t="str">
        <f t="shared" si="1"/>
        <v>No</v>
      </c>
      <c r="Q18" s="58" t="s">
        <v>125</v>
      </c>
    </row>
    <row r="19" spans="2:17" ht="30" customHeight="1">
      <c r="B19" s="46">
        <f>C18</f>
        <v>11400</v>
      </c>
      <c r="C19" s="26">
        <v>11775</v>
      </c>
      <c r="D19" s="27">
        <v>0.3</v>
      </c>
      <c r="E19" s="34">
        <v>1.5</v>
      </c>
      <c r="F19" s="28">
        <v>13</v>
      </c>
      <c r="G19" s="29">
        <v>1.7000000000000001E-2</v>
      </c>
      <c r="H19" s="33">
        <f t="shared" si="2"/>
        <v>1.5296810488655646</v>
      </c>
      <c r="I19" s="31">
        <f>ABS(B19-C19)</f>
        <v>375</v>
      </c>
      <c r="J19" s="31">
        <v>40</v>
      </c>
      <c r="K19" s="31">
        <f t="shared" si="3"/>
        <v>0.34435261707988979</v>
      </c>
      <c r="L19" s="31">
        <v>0.95</v>
      </c>
      <c r="M19" s="31">
        <v>5.23</v>
      </c>
      <c r="N19" s="31">
        <v>0.2</v>
      </c>
      <c r="O19" s="30">
        <f t="shared" si="4"/>
        <v>1.9109159779614324</v>
      </c>
      <c r="P19" s="32" t="str">
        <f t="shared" si="1"/>
        <v>No</v>
      </c>
      <c r="Q19" s="59" t="s">
        <v>126</v>
      </c>
    </row>
    <row r="20" spans="2:17" ht="30" customHeight="1">
      <c r="B20" s="46">
        <f>C19</f>
        <v>11775</v>
      </c>
      <c r="C20" s="26">
        <v>12160</v>
      </c>
      <c r="D20" s="27">
        <v>0.3</v>
      </c>
      <c r="E20" s="34">
        <v>1.5</v>
      </c>
      <c r="F20" s="28">
        <v>13</v>
      </c>
      <c r="G20" s="29">
        <v>1.7000000000000001E-2</v>
      </c>
      <c r="H20" s="33">
        <f t="shared" si="2"/>
        <v>1.5296810488655646</v>
      </c>
      <c r="I20" s="31">
        <f>ABS(B20-C20)</f>
        <v>385</v>
      </c>
      <c r="J20" s="31">
        <v>40</v>
      </c>
      <c r="K20" s="31">
        <f t="shared" si="3"/>
        <v>0.35353535353535354</v>
      </c>
      <c r="L20" s="31">
        <v>0.95</v>
      </c>
      <c r="M20" s="31">
        <v>5.23</v>
      </c>
      <c r="N20" s="31">
        <v>0.26</v>
      </c>
      <c r="O20" s="30">
        <f t="shared" si="4"/>
        <v>2.0165404040404042</v>
      </c>
      <c r="P20" s="32" t="str">
        <f t="shared" si="1"/>
        <v>No</v>
      </c>
      <c r="Q20" s="59" t="s">
        <v>127</v>
      </c>
    </row>
    <row r="21" spans="2:17" ht="30" customHeight="1">
      <c r="B21" s="46">
        <f>C20</f>
        <v>12160</v>
      </c>
      <c r="C21" s="26">
        <v>12475</v>
      </c>
      <c r="D21" s="27">
        <v>0.3</v>
      </c>
      <c r="E21" s="34">
        <v>1.5</v>
      </c>
      <c r="F21" s="28">
        <v>13</v>
      </c>
      <c r="G21" s="29">
        <v>1.7000000000000001E-2</v>
      </c>
      <c r="H21" s="33">
        <f t="shared" si="2"/>
        <v>1.5296810488655646</v>
      </c>
      <c r="I21" s="31">
        <f>ABS(B21-C21)</f>
        <v>315</v>
      </c>
      <c r="J21" s="31">
        <v>40</v>
      </c>
      <c r="K21" s="31">
        <f t="shared" si="3"/>
        <v>0.28925619834710742</v>
      </c>
      <c r="L21" s="31">
        <v>0.95</v>
      </c>
      <c r="M21" s="31">
        <v>5.23</v>
      </c>
      <c r="N21" s="31">
        <v>0.3</v>
      </c>
      <c r="O21" s="30">
        <f t="shared" si="4"/>
        <v>1.7371694214876032</v>
      </c>
      <c r="P21" s="32" t="str">
        <f t="shared" si="1"/>
        <v>No</v>
      </c>
      <c r="Q21" s="59" t="s">
        <v>128</v>
      </c>
    </row>
    <row r="22" spans="2:17" ht="30" customHeight="1" thickBot="1">
      <c r="B22" s="48">
        <f>C21</f>
        <v>12475</v>
      </c>
      <c r="C22" s="49">
        <v>12693</v>
      </c>
      <c r="D22" s="50">
        <v>0.3</v>
      </c>
      <c r="E22" s="51">
        <v>1.5</v>
      </c>
      <c r="F22" s="52">
        <v>13</v>
      </c>
      <c r="G22" s="53">
        <v>1.7000000000000001E-2</v>
      </c>
      <c r="H22" s="54">
        <f t="shared" si="2"/>
        <v>1.5296810488655646</v>
      </c>
      <c r="I22" s="55">
        <f>ABS(B22-C22)</f>
        <v>218</v>
      </c>
      <c r="J22" s="55">
        <v>40</v>
      </c>
      <c r="K22" s="55">
        <f t="shared" si="3"/>
        <v>0.20018365472910926</v>
      </c>
      <c r="L22" s="55">
        <v>0.95</v>
      </c>
      <c r="M22" s="31">
        <v>5.23</v>
      </c>
      <c r="N22" s="55">
        <v>0.23</v>
      </c>
      <c r="O22" s="56">
        <f t="shared" si="4"/>
        <v>1.2246124885215794</v>
      </c>
      <c r="P22" s="57" t="str">
        <f t="shared" si="1"/>
        <v>Yes</v>
      </c>
      <c r="Q22" s="61" t="s">
        <v>129</v>
      </c>
    </row>
    <row r="23" spans="2:17" ht="15">
      <c r="B23"/>
      <c r="C23"/>
      <c r="D23"/>
      <c r="F23"/>
      <c r="H23"/>
      <c r="I23"/>
      <c r="J23"/>
      <c r="K23"/>
      <c r="L23"/>
      <c r="M23"/>
      <c r="N23"/>
      <c r="O23"/>
    </row>
    <row r="24" spans="2:17" ht="15">
      <c r="B24"/>
      <c r="C24"/>
      <c r="D24"/>
      <c r="F24"/>
      <c r="H24"/>
      <c r="I24"/>
      <c r="J24"/>
      <c r="K24"/>
      <c r="L24"/>
      <c r="M24"/>
      <c r="N24"/>
      <c r="O24"/>
    </row>
    <row r="25" spans="2:17" ht="20.100000000000001" customHeight="1">
      <c r="B25"/>
      <c r="C25"/>
      <c r="D25"/>
      <c r="F25"/>
      <c r="H25"/>
      <c r="I25"/>
      <c r="J25"/>
      <c r="K25"/>
      <c r="L25"/>
      <c r="M25"/>
      <c r="N25"/>
      <c r="O25"/>
    </row>
    <row r="26" spans="2:17" ht="15">
      <c r="B26"/>
      <c r="C26"/>
      <c r="D26"/>
      <c r="F26"/>
      <c r="H26"/>
      <c r="I26"/>
      <c r="J26"/>
      <c r="K26"/>
      <c r="L26"/>
      <c r="M26"/>
      <c r="N26"/>
      <c r="O26"/>
    </row>
    <row r="27" spans="2:17" ht="20.100000000000001" customHeight="1">
      <c r="B27"/>
      <c r="C27"/>
      <c r="D27"/>
      <c r="F27"/>
      <c r="H27"/>
      <c r="I27"/>
      <c r="J27"/>
      <c r="K27"/>
      <c r="L27"/>
      <c r="M27"/>
      <c r="N27"/>
      <c r="O27"/>
    </row>
    <row r="28" spans="2:17" ht="15">
      <c r="B28"/>
      <c r="C28"/>
      <c r="D28"/>
      <c r="F28"/>
      <c r="H28"/>
      <c r="I28"/>
      <c r="J28"/>
      <c r="K28"/>
      <c r="L28"/>
      <c r="M28"/>
      <c r="N28"/>
      <c r="O28"/>
    </row>
    <row r="29" spans="2:17" ht="20.100000000000001" customHeight="1">
      <c r="B29"/>
      <c r="C29"/>
      <c r="D29"/>
      <c r="F29"/>
      <c r="H29"/>
      <c r="I29"/>
      <c r="J29"/>
      <c r="K29"/>
      <c r="L29"/>
      <c r="M29"/>
      <c r="N29"/>
      <c r="O29"/>
    </row>
    <row r="30" spans="2:17" ht="20.100000000000001" customHeight="1">
      <c r="B30"/>
      <c r="C30"/>
      <c r="D30"/>
      <c r="F30"/>
      <c r="H30"/>
      <c r="I30"/>
      <c r="J30"/>
      <c r="K30"/>
      <c r="L30"/>
      <c r="M30"/>
      <c r="N30"/>
      <c r="O30"/>
    </row>
  </sheetData>
  <mergeCells count="17">
    <mergeCell ref="B17:Q17"/>
    <mergeCell ref="M8:M9"/>
    <mergeCell ref="N8:N9"/>
    <mergeCell ref="O8:O9"/>
    <mergeCell ref="P8:P9"/>
    <mergeCell ref="Q8:Q9"/>
    <mergeCell ref="B10:Q10"/>
    <mergeCell ref="B6:Q6"/>
    <mergeCell ref="B8:B9"/>
    <mergeCell ref="C8:C9"/>
    <mergeCell ref="D8:D9"/>
    <mergeCell ref="E8:E9"/>
    <mergeCell ref="F8:F9"/>
    <mergeCell ref="G8:G9"/>
    <mergeCell ref="H8:H9"/>
    <mergeCell ref="I8:K8"/>
    <mergeCell ref="L8:L9"/>
  </mergeCells>
  <conditionalFormatting sqref="P11:P12">
    <cfRule type="cellIs" dxfId="11" priority="10" stopIfTrue="1" operator="equal">
      <formula>"No"</formula>
    </cfRule>
    <cfRule type="cellIs" dxfId="10" priority="11" stopIfTrue="1" operator="equal">
      <formula>"Yes"</formula>
    </cfRule>
    <cfRule type="expression" dxfId="9" priority="12" stopIfTrue="1">
      <formula>#REF!</formula>
    </cfRule>
  </conditionalFormatting>
  <conditionalFormatting sqref="P13:P16 P18:P20">
    <cfRule type="cellIs" dxfId="8" priority="7" stopIfTrue="1" operator="equal">
      <formula>"No"</formula>
    </cfRule>
    <cfRule type="cellIs" dxfId="7" priority="8" stopIfTrue="1" operator="equal">
      <formula>"Yes"</formula>
    </cfRule>
    <cfRule type="expression" dxfId="6" priority="9" stopIfTrue="1">
      <formula>#REF!</formula>
    </cfRule>
  </conditionalFormatting>
  <conditionalFormatting sqref="P21">
    <cfRule type="cellIs" dxfId="5" priority="4" stopIfTrue="1" operator="equal">
      <formula>"No"</formula>
    </cfRule>
    <cfRule type="cellIs" dxfId="4" priority="5" stopIfTrue="1" operator="equal">
      <formula>"Yes"</formula>
    </cfRule>
    <cfRule type="expression" dxfId="3" priority="6" stopIfTrue="1">
      <formula>#REF!</formula>
    </cfRule>
  </conditionalFormatting>
  <conditionalFormatting sqref="P22">
    <cfRule type="cellIs" dxfId="2" priority="1" stopIfTrue="1" operator="equal">
      <formula>"No"</formula>
    </cfRule>
    <cfRule type="cellIs" dxfId="1" priority="2" stopIfTrue="1" operator="equal">
      <formula>"Yes"</formula>
    </cfRule>
    <cfRule type="expression" dxfId="0" priority="3" stopIfTrue="1">
      <formula>#REF!</formula>
    </cfRule>
  </conditionalFormatting>
  <printOptions horizontalCentered="1"/>
  <pageMargins left="0.7" right="0.7" top="0.75" bottom="0.75" header="0.3" footer="0.3"/>
  <pageSetup scale="57" orientation="landscape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10-Yr Runoff</vt:lpstr>
      <vt:lpstr>100-yr Runoff</vt:lpstr>
      <vt:lpstr>Prop_10_yr_Runoff-Not Used</vt:lpstr>
      <vt:lpstr>10-year Spread</vt:lpstr>
      <vt:lpstr>100-year Street Criteria</vt:lpstr>
      <vt:lpstr>100-year interim ditch</vt:lpstr>
      <vt:lpstr>Not Used</vt:lpstr>
      <vt:lpstr>Spread100yrFlow</vt:lpstr>
      <vt:lpstr>'100-year interim ditch'!Print_Area</vt:lpstr>
      <vt:lpstr>'100-year Street Criteria'!Print_Area</vt:lpstr>
      <vt:lpstr>'10-year Spread'!Print_Area</vt:lpstr>
      <vt:lpstr>'Prop_10_yr_Runoff-Not Used'!Print_Area</vt:lpstr>
      <vt:lpstr>Spread100yrFlow!Print_Area</vt:lpstr>
      <vt:lpstr>'100-year Street Criteria'!Print_Titles</vt:lpstr>
      <vt:lpstr>'10-year Spread'!Print_Titles</vt:lpstr>
    </vt:vector>
  </TitlesOfParts>
  <Manager/>
  <Company>Parsons Brinckerhoff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chavez</dc:creator>
  <cp:keywords/>
  <dc:description/>
  <cp:lastModifiedBy>Davidson, Dustin A.</cp:lastModifiedBy>
  <cp:revision/>
  <cp:lastPrinted>2020-08-31T16:45:27Z</cp:lastPrinted>
  <dcterms:created xsi:type="dcterms:W3CDTF">2014-08-11T16:02:47Z</dcterms:created>
  <dcterms:modified xsi:type="dcterms:W3CDTF">2020-08-31T22:52:44Z</dcterms:modified>
  <cp:category/>
  <cp:contentStatus/>
</cp:coreProperties>
</file>